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350" tabRatio="712" activeTab="0"/>
  </bookViews>
  <sheets>
    <sheet name="封面" sheetId="1" r:id="rId1"/>
    <sheet name="表1 " sheetId="2" r:id="rId2"/>
    <sheet name="表2-1 " sheetId="3" r:id="rId3"/>
    <sheet name="表2-2 " sheetId="4" r:id="rId4"/>
    <sheet name="表2-3 " sheetId="5" r:id="rId5"/>
    <sheet name="表2-4 " sheetId="6" r:id="rId6"/>
    <sheet name="表3 " sheetId="7" r:id="rId7"/>
    <sheet name="表4-1" sheetId="8" r:id="rId8"/>
    <sheet name="表4-2" sheetId="9" r:id="rId9"/>
    <sheet name="表4-3" sheetId="10" r:id="rId10"/>
    <sheet name="表4-4 " sheetId="11" r:id="rId11"/>
    <sheet name="表5 " sheetId="12" r:id="rId12"/>
    <sheet name="表6-1 " sheetId="13" r:id="rId13"/>
    <sheet name="表6-2 " sheetId="14" r:id="rId14"/>
    <sheet name="表6-3 " sheetId="15" r:id="rId15"/>
    <sheet name="表7" sheetId="16" r:id="rId16"/>
    <sheet name="表8-1" sheetId="17" r:id="rId17"/>
    <sheet name="表8-2" sheetId="18" r:id="rId18"/>
    <sheet name="表8-3" sheetId="19" r:id="rId19"/>
    <sheet name="表9-1" sheetId="20" r:id="rId20"/>
    <sheet name="表9-2" sheetId="21" r:id="rId21"/>
    <sheet name="表9-3" sheetId="22" r:id="rId22"/>
    <sheet name="表9-4" sheetId="23" r:id="rId23"/>
    <sheet name="表10-1 " sheetId="24" r:id="rId24"/>
    <sheet name="表10-2 " sheetId="25" r:id="rId25"/>
    <sheet name="表10-3" sheetId="26" r:id="rId26"/>
    <sheet name="表10-4" sheetId="27" r:id="rId27"/>
    <sheet name="表10-5" sheetId="28" r:id="rId28"/>
    <sheet name="表10-6" sheetId="29" r:id="rId29"/>
    <sheet name="表10-7" sheetId="30" r:id="rId30"/>
    <sheet name="表10-8" sheetId="31" r:id="rId31"/>
    <sheet name="表10-9" sheetId="32" r:id="rId32"/>
    <sheet name="表10-10" sheetId="33" r:id="rId33"/>
    <sheet name="封底" sheetId="34" r:id="rId34"/>
  </sheets>
  <externalReferences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</externalReferences>
  <definedNames>
    <definedName name="_21114">#REF!</definedName>
    <definedName name="_Fill" hidden="1">'[26]eqpmad2'!#REF!</definedName>
    <definedName name="_Order1" hidden="1">255</definedName>
    <definedName name="_Order2" hidden="1">255</definedName>
    <definedName name="A">#REF!</definedName>
    <definedName name="aa">#REF!</definedName>
    <definedName name="aiu_bottom">'[32]Financ. Overview'!#REF!</definedName>
    <definedName name="as">#N/A</definedName>
    <definedName name="AS2DocOpenMode" hidden="1">"AS2DocumentEdit"</definedName>
    <definedName name="CXSJ">"2007年3季度"</definedName>
    <definedName name="data">#REF!</definedName>
    <definedName name="database2">#REF!</definedName>
    <definedName name="database3">#REF!</definedName>
    <definedName name="dss" hidden="1">#REF!</definedName>
    <definedName name="E206.">#REF!</definedName>
    <definedName name="eee">#REF!</definedName>
    <definedName name="fff">#REF!</definedName>
    <definedName name="FRC">'[28]Main'!$C$9</definedName>
    <definedName name="gxxe2003">'[1]P1012001'!$A$6:$E$117</definedName>
    <definedName name="gxxe20032">'[1]P1012001'!$A$6:$E$117</definedName>
    <definedName name="hhhh">#REF!</definedName>
    <definedName name="hostfee">'[32]Financ. Overview'!$H$12</definedName>
    <definedName name="hraiu_bottom">'[32]Financ. Overview'!#REF!</definedName>
    <definedName name="hvac">'[32]Financ. Overview'!#REF!</definedName>
    <definedName name="HWSheet">1</definedName>
    <definedName name="JGMC">"编制单位：中铁十局集团"</definedName>
    <definedName name="kkkk">#REF!</definedName>
    <definedName name="Module.Prix_SMC" localSheetId="23">'表10-1 '!Module.Prix_SMC</definedName>
    <definedName name="Module.Prix_SMC" localSheetId="24">'表10-2 '!Module.Prix_SMC</definedName>
    <definedName name="Module.Prix_SMC" localSheetId="25">'表10-3'!Module.Prix_SMC</definedName>
    <definedName name="Module.Prix_SMC" localSheetId="26">'表10-4'!Module.Prix_SMC</definedName>
    <definedName name="Module.Prix_SMC" localSheetId="27">'表10-5'!Module.Prix_SMC</definedName>
    <definedName name="Module.Prix_SMC" localSheetId="3">[0]!Module.Prix_SMC</definedName>
    <definedName name="Module.Prix_SMC" localSheetId="7">'表4-1'!Module.Prix_SMC</definedName>
    <definedName name="Module.Prix_SMC" localSheetId="9">'表4-3'!Module.Prix_SMC</definedName>
    <definedName name="Module.Prix_SMC" localSheetId="10">'表4-4 '!Module.Prix_SMC</definedName>
    <definedName name="Module.Prix_SMC" localSheetId="16">'表8-1'!Module.Prix_SMC</definedName>
    <definedName name="Module.Prix_SMC" localSheetId="17">'表8-2'!Module.Prix_SMC</definedName>
    <definedName name="Module.Prix_SMC" localSheetId="18">'表8-3'!Module.Prix_SMC</definedName>
    <definedName name="Module.Prix_SMC" localSheetId="19">'表9-1'!Module.Prix_SMC</definedName>
    <definedName name="Module.Prix_SMC" localSheetId="21">'表9-3'!Module.Prix_SMC</definedName>
    <definedName name="Module.Prix_SMC" localSheetId="22">'表9-4'!Module.Prix_SMC</definedName>
    <definedName name="Module.Prix_SMC">[0]!Module.Prix_SMC</definedName>
    <definedName name="OS">'[27]Open'!#REF!</definedName>
    <definedName name="p21">'[35]铁道部4-8'!$I$6</definedName>
    <definedName name="PA7">'[29]SW-TEO'!#REF!</definedName>
    <definedName name="PA8">'[29]SW-TEO'!#REF!</definedName>
    <definedName name="PD1">'[29]SW-TEO'!#REF!</definedName>
    <definedName name="PE12">'[29]SW-TEO'!#REF!</definedName>
    <definedName name="PE13">'[29]SW-TEO'!#REF!</definedName>
    <definedName name="PE6">'[29]SW-TEO'!#REF!</definedName>
    <definedName name="PE7">'[29]SW-TEO'!#REF!</definedName>
    <definedName name="PE8">'[29]SW-TEO'!#REF!</definedName>
    <definedName name="PE9">'[29]SW-TEO'!#REF!</definedName>
    <definedName name="PH1">'[29]SW-TEO'!#REF!</definedName>
    <definedName name="PI1">'[29]SW-TEO'!#REF!</definedName>
    <definedName name="PK1">'[29]SW-TEO'!#REF!</definedName>
    <definedName name="PK3">'[29]SW-TEO'!#REF!</definedName>
    <definedName name="pr_toolbox">'[32]Toolbox'!$A$3:$I$80</definedName>
    <definedName name="_xlnm.Print_Area" localSheetId="1">'表1 '!$A$1:$H$29</definedName>
    <definedName name="_xlnm.Print_Area" localSheetId="28">'表10-6'!$A$1:$I$41</definedName>
    <definedName name="_xlnm.Print_Area" localSheetId="29">'表10-7'!$A$1:$C$23</definedName>
    <definedName name="_xlnm.Print_Area" localSheetId="31">'表10-9'!$A$1:$J$24</definedName>
    <definedName name="_xlnm.Print_Area" localSheetId="7">'表4-1'!$A$1:$D$24</definedName>
    <definedName name="_xlnm.Print_Area" localSheetId="8">'表4-2'!$A$1:$G$507</definedName>
    <definedName name="_xlnm.Print_Area" localSheetId="11">'表5 '!$A$1:$H$22</definedName>
    <definedName name="_xlnm.Print_Area" localSheetId="12">'表6-1 '!$1:$23</definedName>
    <definedName name="_xlnm.Print_Area" localSheetId="13">'表6-2 '!$1:$17</definedName>
    <definedName name="_xlnm.Print_Area" localSheetId="16">'表8-1'!$A$1:$P$21</definedName>
    <definedName name="_xlnm.Print_Area">#N/A</definedName>
    <definedName name="Print_Area_MI">#REF!</definedName>
    <definedName name="_xlnm.Print_Titles" localSheetId="23">'表10-1 '!$1:$4</definedName>
    <definedName name="_xlnm.Print_Titles" localSheetId="25">'表10-3'!$1:$5</definedName>
    <definedName name="_xlnm.Print_Titles" localSheetId="28">'表10-6'!$1:$4</definedName>
    <definedName name="_xlnm.Print_Titles" localSheetId="30">'表10-8'!$1:$5</definedName>
    <definedName name="_xlnm.Print_Titles" localSheetId="8">'表4-2'!$1:$4</definedName>
    <definedName name="_xlnm.Print_Titles" localSheetId="10">'表4-4 '!$1:$5</definedName>
    <definedName name="_xlnm.Print_Titles" localSheetId="18">'表8-3'!$1:$5</definedName>
    <definedName name="_xlnm.Print_Titles">#N/A</definedName>
    <definedName name="Prix_SMC" localSheetId="23">'表10-1 '!Prix_SMC</definedName>
    <definedName name="Prix_SMC" localSheetId="24">'表10-2 '!Prix_SMC</definedName>
    <definedName name="Prix_SMC" localSheetId="25">'表10-3'!Prix_SMC</definedName>
    <definedName name="Prix_SMC" localSheetId="26">'表10-4'!Prix_SMC</definedName>
    <definedName name="Prix_SMC" localSheetId="27">'表10-5'!Prix_SMC</definedName>
    <definedName name="Prix_SMC" localSheetId="3">[0]!Prix_SMC</definedName>
    <definedName name="Prix_SMC" localSheetId="7">'表4-1'!Prix_SMC</definedName>
    <definedName name="Prix_SMC" localSheetId="9">'表4-3'!Prix_SMC</definedName>
    <definedName name="Prix_SMC" localSheetId="10">'表4-4 '!Prix_SMC</definedName>
    <definedName name="Prix_SMC" localSheetId="16">'表8-1'!Prix_SMC</definedName>
    <definedName name="Prix_SMC" localSheetId="17">'表8-2'!Prix_SMC</definedName>
    <definedName name="Prix_SMC" localSheetId="18">'表8-3'!Prix_SMC</definedName>
    <definedName name="Prix_SMC" localSheetId="19">'表9-1'!Prix_SMC</definedName>
    <definedName name="Prix_SMC" localSheetId="21">'表9-3'!Prix_SMC</definedName>
    <definedName name="Prix_SMC" localSheetId="22">'表9-4'!Prix_SMC</definedName>
    <definedName name="Prix_SMC">[0]!Prix_SMC</definedName>
    <definedName name="rrrr">#REF!</definedName>
    <definedName name="s">#REF!</definedName>
    <definedName name="s_c_list">'[33]Toolbox'!$A$7:$H$969</definedName>
    <definedName name="SCG">'[34]G.1R-Shou COP Gf'!#REF!</definedName>
    <definedName name="sdlfee">'[32]Financ. Overview'!$H$13</definedName>
    <definedName name="sfeggsafasfas">#REF!</definedName>
    <definedName name="solar_ratio">'[31]POWER ASSUMPTIONS'!$H$7</definedName>
    <definedName name="ss">#REF!</definedName>
    <definedName name="ss7fee">'[32]Financ. Overview'!$H$18</definedName>
    <definedName name="subsfee">'[32]Financ. Overview'!$H$14</definedName>
    <definedName name="TextRefCopy1" localSheetId="10">#REF!</definedName>
    <definedName name="TextRefCopy1">#REF!</definedName>
    <definedName name="TextRefCopy10">#REF!</definedName>
    <definedName name="TextRefCopy100">#REF!</definedName>
    <definedName name="TextRefCopy101">#REF!</definedName>
    <definedName name="TextRefCopy102">#REF!</definedName>
    <definedName name="TextRefCopy103">#REF!</definedName>
    <definedName name="TextRefCopy104">#REF!</definedName>
    <definedName name="TextRefCopy105">#REF!</definedName>
    <definedName name="TextRefCopy106">#REF!</definedName>
    <definedName name="TextRefCopy107">#REF!</definedName>
    <definedName name="TextRefCopy108">#REF!</definedName>
    <definedName name="TextRefCopy109">#REF!</definedName>
    <definedName name="TextRefCopy11">#REF!</definedName>
    <definedName name="TextRefCopy110">#REF!</definedName>
    <definedName name="TextRefCopy111">#REF!</definedName>
    <definedName name="TextRefCopy112" localSheetId="10">#REF!</definedName>
    <definedName name="TextRefCopy112">#REF!</definedName>
    <definedName name="TextRefCopy113">#REF!</definedName>
    <definedName name="TextRefCopy114">#REF!</definedName>
    <definedName name="TextRefCopy115">#REF!</definedName>
    <definedName name="TextRefCopy116">#REF!</definedName>
    <definedName name="TextRefCopy117">#REF!</definedName>
    <definedName name="TextRefCopy118">#REF!</definedName>
    <definedName name="TextRefCopy119">#REF!</definedName>
    <definedName name="TextRefCopy12">#REF!</definedName>
    <definedName name="TextRefCopy120">#REF!</definedName>
    <definedName name="TextRefCopy121">#REF!</definedName>
    <definedName name="TextRefCopy122">#REF!</definedName>
    <definedName name="TextRefCopy123">#REF!</definedName>
    <definedName name="TextRefCopy124">#REF!</definedName>
    <definedName name="TextRefCopy125">#REF!</definedName>
    <definedName name="TextRefCopy126">#REF!</definedName>
    <definedName name="TextRefCopy127">#REF!</definedName>
    <definedName name="TextRefCopy128">#REF!</definedName>
    <definedName name="TextRefCopy129">#REF!</definedName>
    <definedName name="TextRefCopy13">#REF!</definedName>
    <definedName name="TextRefCopy130">#REF!</definedName>
    <definedName name="TextRefCopy131">#REF!</definedName>
    <definedName name="TextRefCopy132">#REF!</definedName>
    <definedName name="TextRefCopy134">#REF!</definedName>
    <definedName name="TextRefCopy135">#REF!</definedName>
    <definedName name="TextRefCopy136">#REF!</definedName>
    <definedName name="TextRefCopy137">#REF!</definedName>
    <definedName name="TextRefCopy138">#REF!</definedName>
    <definedName name="TextRefCopy139">#REF!</definedName>
    <definedName name="TextRefCopy14">#REF!</definedName>
    <definedName name="TextRefCopy149">#REF!</definedName>
    <definedName name="TextRefCopy15">#REF!</definedName>
    <definedName name="TextRefCopy152">#REF!</definedName>
    <definedName name="TextRefCopy16">#REF!</definedName>
    <definedName name="TextRefCopy17">#REF!</definedName>
    <definedName name="TextRefCopy18">#REF!</definedName>
    <definedName name="TextRefCopy19">#REF!</definedName>
    <definedName name="TextRefCopy2">#REF!</definedName>
    <definedName name="TextRefCopy20">#REF!</definedName>
    <definedName name="TextRefCopy21">#REF!</definedName>
    <definedName name="TextRefCopy22">#REF!</definedName>
    <definedName name="TextRefCopy23">#REF!</definedName>
    <definedName name="TextRefCopy24">#REF!</definedName>
    <definedName name="TextRefCopy25">#REF!</definedName>
    <definedName name="TextRefCopy26">#REF!</definedName>
    <definedName name="TextRefCopy27">#REF!</definedName>
    <definedName name="TextRefCopy28">#REF!</definedName>
    <definedName name="TextRefCopy29">#REF!</definedName>
    <definedName name="TextRefCopy3">#REF!</definedName>
    <definedName name="TextRefCopy30">#REF!</definedName>
    <definedName name="TextRefCopy31">#REF!</definedName>
    <definedName name="TextRefCopy32">#REF!</definedName>
    <definedName name="TextRefCopy33">#REF!</definedName>
    <definedName name="TextRefCopy34">#REF!</definedName>
    <definedName name="TextRefCopy35">#REF!</definedName>
    <definedName name="TextRefCopy36">#REF!</definedName>
    <definedName name="TextRefCopy37">#REF!</definedName>
    <definedName name="TextRefCopy38">#REF!</definedName>
    <definedName name="TextRefCopy39">#REF!</definedName>
    <definedName name="TextRefCopy4">#REF!</definedName>
    <definedName name="TextRefCopy40">#REF!</definedName>
    <definedName name="TextRefCopy41">#REF!</definedName>
    <definedName name="TextRefCopy42">#REF!</definedName>
    <definedName name="TextRefCopy43">#REF!</definedName>
    <definedName name="TextRefCopy44">#REF!</definedName>
    <definedName name="TextRefCopy45">#REF!</definedName>
    <definedName name="TextRefCopy46">#REF!</definedName>
    <definedName name="TextRefCopy47">#REF!</definedName>
    <definedName name="TextRefCopy48">#REF!</definedName>
    <definedName name="TextRefCopy49">#REF!</definedName>
    <definedName name="TextRefCopy5">#REF!</definedName>
    <definedName name="TextRefCopy50">#REF!</definedName>
    <definedName name="TextRefCopy51">#REF!</definedName>
    <definedName name="TextRefCopy52">#REF!</definedName>
    <definedName name="TextRefCopy53">#REF!</definedName>
    <definedName name="TextRefCopy54">#REF!</definedName>
    <definedName name="TextRefCopy55">#REF!</definedName>
    <definedName name="TextRefCopy56">#REF!</definedName>
    <definedName name="TextRefCopy57">#REF!</definedName>
    <definedName name="TextRefCopy58">#REF!</definedName>
    <definedName name="TextRefCopy59">#REF!</definedName>
    <definedName name="TextRefCopy6">#REF!</definedName>
    <definedName name="TextRefCopy60">#REF!</definedName>
    <definedName name="TextRefCopy61">#REF!</definedName>
    <definedName name="TextRefCopy62">#REF!</definedName>
    <definedName name="TextRefCopy63">#REF!</definedName>
    <definedName name="TextRefCopy64">#REF!</definedName>
    <definedName name="TextRefCopy65">#REF!</definedName>
    <definedName name="TextRefCopy66">#REF!</definedName>
    <definedName name="TextRefCopy67">#REF!</definedName>
    <definedName name="TextRefCopy68">#REF!</definedName>
    <definedName name="TextRefCopy69">#REF!</definedName>
    <definedName name="TextRefCopy7">#REF!</definedName>
    <definedName name="TextRefCopy70">#REF!</definedName>
    <definedName name="TextRefCopy71">#REF!</definedName>
    <definedName name="TextRefCopy72">#REF!</definedName>
    <definedName name="TextRefCopy73">#REF!</definedName>
    <definedName name="TextRefCopy74">#REF!</definedName>
    <definedName name="TextRefCopy75">#REF!</definedName>
    <definedName name="TextRefCopy76">#REF!</definedName>
    <definedName name="TextRefCopy77">#REF!</definedName>
    <definedName name="TextRefCopy78">#REF!</definedName>
    <definedName name="TextRefCopy79">#REF!</definedName>
    <definedName name="TextRefCopy8">#REF!</definedName>
    <definedName name="TextRefCopy80">#REF!</definedName>
    <definedName name="TextRefCopy81">#REF!</definedName>
    <definedName name="TextRefCopy82">#REF!</definedName>
    <definedName name="TextRefCopy83">#REF!</definedName>
    <definedName name="TextRefCopy84">#REF!</definedName>
    <definedName name="TextRefCopy85">#REF!</definedName>
    <definedName name="TextRefCopy86">#REF!</definedName>
    <definedName name="TextRefCopy87">#REF!</definedName>
    <definedName name="TextRefCopy88">#REF!</definedName>
    <definedName name="TextRefCopy89">#REF!</definedName>
    <definedName name="TextRefCopy9">#REF!</definedName>
    <definedName name="TextRefCopy90">#REF!</definedName>
    <definedName name="TextRefCopy91">#REF!</definedName>
    <definedName name="TextRefCopy92">#REF!</definedName>
    <definedName name="TextRefCopy93">#REF!</definedName>
    <definedName name="TextRefCopy94">#REF!</definedName>
    <definedName name="TextRefCopy95">#REF!</definedName>
    <definedName name="TextRefCopy96">#REF!</definedName>
    <definedName name="TextRefCopy97">#REF!</definedName>
    <definedName name="TextRefCopy98">#REF!</definedName>
    <definedName name="TextRefCopy99">#REF!</definedName>
    <definedName name="TextRefCopyRangeCount" hidden="1">151</definedName>
    <definedName name="toolbox">'[30]Toolbox'!$C$5:$T$1578</definedName>
    <definedName name="ttt">#REF!</definedName>
    <definedName name="tttt">#REF!</definedName>
    <definedName name="V5.1Fee">'[32]Financ. Overview'!$H$15</definedName>
    <definedName name="www">#REF!</definedName>
    <definedName name="XREF_COLUMN_1" localSheetId="10" hidden="1">#REF!</definedName>
    <definedName name="XREF_COLUMN_1" hidden="1">#REF!</definedName>
    <definedName name="XREF_COLUMN_2" hidden="1">#REF!</definedName>
    <definedName name="XREF_COLUMN_3" hidden="1">#REF!</definedName>
    <definedName name="XRefActiveRow" hidden="1">#REF!</definedName>
    <definedName name="XRefColumnsCount" hidden="1">3</definedName>
    <definedName name="XRefCopy1" localSheetId="10" hidden="1">#REF!</definedName>
    <definedName name="XRefCopy1" hidden="1">#REF!</definedName>
    <definedName name="XRefCopy1Row" hidden="1">#REF!</definedName>
    <definedName name="XRefCopy2" hidden="1">#REF!</definedName>
    <definedName name="XRefCopy3" hidden="1">#REF!</definedName>
    <definedName name="XRefCopyRangeCount" hidden="1">3</definedName>
    <definedName name="XRefPaste1" localSheetId="10" hidden="1">#REF!</definedName>
    <definedName name="XRefPaste1" hidden="1">#REF!</definedName>
    <definedName name="XRefPaste10" hidden="1">#REF!</definedName>
    <definedName name="XRefPaste10Row" hidden="1">#REF!</definedName>
    <definedName name="XRefPaste11" hidden="1">#REF!</definedName>
    <definedName name="XRefPaste11Row" hidden="1">#REF!</definedName>
    <definedName name="XRefPaste12" hidden="1">#REF!</definedName>
    <definedName name="XRefPaste12Row" hidden="1">#REF!</definedName>
    <definedName name="XRefPaste13" hidden="1">#REF!</definedName>
    <definedName name="XRefPaste13Row" hidden="1">#REF!</definedName>
    <definedName name="XRefPaste14" hidden="1">#REF!</definedName>
    <definedName name="XRefPaste14Row" hidden="1">#REF!</definedName>
    <definedName name="XRefPaste15" hidden="1">#REF!</definedName>
    <definedName name="XRefPaste15Row" hidden="1">#REF!</definedName>
    <definedName name="XRefPaste16" hidden="1">#REF!</definedName>
    <definedName name="XRefPaste16Row" hidden="1">#REF!</definedName>
    <definedName name="XRefPaste17" hidden="1">#REF!</definedName>
    <definedName name="XRefPaste17Row" hidden="1">#REF!</definedName>
    <definedName name="XRefPaste18" hidden="1">#REF!</definedName>
    <definedName name="XRefPaste18Row" hidden="1">#REF!</definedName>
    <definedName name="XRefPaste19" hidden="1">#REF!</definedName>
    <definedName name="XRefPaste19Row" hidden="1">#REF!</definedName>
    <definedName name="XRefPaste1Row" hidden="1">#REF!</definedName>
    <definedName name="XRefPaste2" hidden="1">#REF!</definedName>
    <definedName name="XRefPaste20" hidden="1">#REF!</definedName>
    <definedName name="XRefPaste20Row" hidden="1">#REF!</definedName>
    <definedName name="XRefPaste21" hidden="1">#REF!</definedName>
    <definedName name="XRefPaste21Row" hidden="1">#REF!</definedName>
    <definedName name="XRefPaste22" hidden="1">#REF!</definedName>
    <definedName name="XRefPaste22Row" hidden="1">#REF!</definedName>
    <definedName name="XRefPaste23" hidden="1">#REF!</definedName>
    <definedName name="XRefPaste23Row" hidden="1">#REF!</definedName>
    <definedName name="XRefPaste24" hidden="1">#REF!</definedName>
    <definedName name="XRefPaste24Row" hidden="1">#REF!</definedName>
    <definedName name="XRefPaste25" hidden="1">#REF!</definedName>
    <definedName name="XRefPaste25Row" hidden="1">#REF!</definedName>
    <definedName name="XRefPaste26" hidden="1">#REF!</definedName>
    <definedName name="XRefPaste26Row" hidden="1">#REF!</definedName>
    <definedName name="XRefPaste27" hidden="1">#REF!</definedName>
    <definedName name="XRefPaste27Row" hidden="1">#REF!</definedName>
    <definedName name="XRefPaste28" hidden="1">#REF!</definedName>
    <definedName name="XRefPaste28Row" hidden="1">#REF!</definedName>
    <definedName name="XRefPaste29" hidden="1">#REF!</definedName>
    <definedName name="XRefPaste29Row" hidden="1">#REF!</definedName>
    <definedName name="XRefPaste2Row" hidden="1">#REF!</definedName>
    <definedName name="XRefPaste3" hidden="1">#REF!</definedName>
    <definedName name="XRefPaste30" hidden="1">#REF!</definedName>
    <definedName name="XRefPaste30Row" hidden="1">#REF!</definedName>
    <definedName name="XRefPaste31" hidden="1">#REF!</definedName>
    <definedName name="XRefPaste31Row" hidden="1">#REF!</definedName>
    <definedName name="XRefPaste32" hidden="1">#REF!</definedName>
    <definedName name="XRefPaste32Row" hidden="1">#REF!</definedName>
    <definedName name="XRefPaste33" hidden="1">#REF!</definedName>
    <definedName name="XRefPaste33Row" hidden="1">#REF!</definedName>
    <definedName name="XRefPaste34" hidden="1">#REF!</definedName>
    <definedName name="XRefPaste34Row" hidden="1">#REF!</definedName>
    <definedName name="XRefPaste35" hidden="1">#REF!</definedName>
    <definedName name="XRefPaste35Row" hidden="1">#REF!</definedName>
    <definedName name="XRefPaste36" hidden="1">#REF!</definedName>
    <definedName name="XRefPaste36Row" hidden="1">#REF!</definedName>
    <definedName name="XRefPaste37" hidden="1">#REF!</definedName>
    <definedName name="XRefPaste37Row" hidden="1">#REF!</definedName>
    <definedName name="XRefPaste38" hidden="1">#REF!</definedName>
    <definedName name="XRefPaste38Row" hidden="1">#REF!</definedName>
    <definedName name="XRefPaste3Row" hidden="1">#REF!</definedName>
    <definedName name="XRefPaste4" hidden="1">#REF!</definedName>
    <definedName name="XRefPaste4Row" hidden="1">#REF!</definedName>
    <definedName name="XRefPaste5" hidden="1">#REF!</definedName>
    <definedName name="XRefPaste5Row" hidden="1">#REF!</definedName>
    <definedName name="XRefPaste6" hidden="1">#REF!</definedName>
    <definedName name="XRefPaste6Row" hidden="1">#REF!</definedName>
    <definedName name="XRefPaste7" hidden="1">#REF!</definedName>
    <definedName name="XRefPaste7Row" hidden="1">#REF!</definedName>
    <definedName name="XRefPaste8" hidden="1">#REF!</definedName>
    <definedName name="XRefPaste8Row" hidden="1">#REF!</definedName>
    <definedName name="XRefPaste9" hidden="1">#REF!</definedName>
    <definedName name="XRefPaste9Row" hidden="1">#REF!</definedName>
    <definedName name="XRefPasteRangeCount" hidden="1">38</definedName>
    <definedName name="yyyy">#REF!</definedName>
    <definedName name="Z32_Cost_red">'[32]Financ. Overview'!#REF!</definedName>
    <definedName name="本级标准收入2004年">'[2]本年收入合计'!$E$4:$E$184</definedName>
    <definedName name="拨款汇总_合计">SUM('[3]汇总'!#REF!)</definedName>
    <definedName name="财力">#REF!</definedName>
    <definedName name="财政供养人员增幅2004年">'[4]财政供养人员增幅'!$E$6</definedName>
    <definedName name="财政供养人员增幅2004年分县">'[4]财政供养人员增幅'!$E$4:$E$184</definedName>
    <definedName name="村级标准支出">'[5]村级支出'!$E$4:$E$184</definedName>
    <definedName name="大多数">'[6]XL4Poppy'!$A$15</definedName>
    <definedName name="大幅度">#REF!</definedName>
    <definedName name="地区名称">'[8]封面'!#REF!</definedName>
    <definedName name="第二产业分县2003年">'[7]GDP'!$G$4:$G$184</definedName>
    <definedName name="第二产业合计2003年">'[7]GDP'!$G$4</definedName>
    <definedName name="第三产业分县2003年">'[7]GDP'!$H$4:$H$184</definedName>
    <definedName name="第三产业合计2003年">'[7]GDP'!$H$4</definedName>
    <definedName name="耕地占用税分县2003年">'[9]一般预算收入'!$U$4:$U$184</definedName>
    <definedName name="耕地占用税合计2003年">'[9]一般预算收入'!$U$4</definedName>
    <definedName name="工商税收2004年">'[11]工商税收'!$S$4:$S$184</definedName>
    <definedName name="工商税收合计2004年">'[11]工商税收'!$S$4</definedName>
    <definedName name="公检法司部门编制数">'[10]公检法司编制'!$E$4:$E$184</definedName>
    <definedName name="公用标准支出">'[12]合计'!$E$4:$E$184</definedName>
    <definedName name="汇率">#REF!</definedName>
    <definedName name="전">#REF!</definedName>
    <definedName name="주택사업본부">#REF!</definedName>
    <definedName name="科目编码">'[13]编码'!$A$2:$A$145</definedName>
    <definedName name="철구사업본부">#REF!</definedName>
    <definedName name="农业人口2003年">'[14]农业人口'!$E$4:$E$184</definedName>
    <definedName name="农业税分县2003年">'[9]一般预算收入'!$S$4:$S$184</definedName>
    <definedName name="农业税合计2003年">'[9]一般预算收入'!$S$4</definedName>
    <definedName name="农业特产税分县2003年">'[9]一般预算收入'!$T$4:$T$184</definedName>
    <definedName name="农业特产税合计2003年">'[9]一般预算收入'!$T$4</definedName>
    <definedName name="农业用地面积">'[15]农业用地'!$E$4:$E$184</definedName>
    <definedName name="契税分县2003年">'[9]一般预算收入'!$V$4:$V$184</definedName>
    <definedName name="契税合计2003年">'[9]一般预算收入'!$V$4</definedName>
    <definedName name="全额差额比例">'[16]C01-1'!#REF!</definedName>
    <definedName name="人员标准支出">'[17]人员支出'!$E$4:$E$184</definedName>
    <definedName name="生产列1">#REF!</definedName>
    <definedName name="生产列11">#REF!</definedName>
    <definedName name="生产列15">#REF!</definedName>
    <definedName name="生产列16">#REF!</definedName>
    <definedName name="生产列17">#REF!</definedName>
    <definedName name="生产列19">#REF!</definedName>
    <definedName name="生产列2">#REF!</definedName>
    <definedName name="生产列20">#REF!</definedName>
    <definedName name="生产列3">#REF!</definedName>
    <definedName name="生产列4">#REF!</definedName>
    <definedName name="生产列5">#REF!</definedName>
    <definedName name="生产列6">#REF!</definedName>
    <definedName name="生产列7">#REF!</definedName>
    <definedName name="生产列8">#REF!</definedName>
    <definedName name="生产列9">#REF!</definedName>
    <definedName name="生产期">#REF!</definedName>
    <definedName name="生产期1">#REF!</definedName>
    <definedName name="生产期11">#REF!</definedName>
    <definedName name="生产期123">#REF!</definedName>
    <definedName name="生产期15">#REF!</definedName>
    <definedName name="生产期16">#REF!</definedName>
    <definedName name="生产期17">#REF!</definedName>
    <definedName name="生产期19">#REF!</definedName>
    <definedName name="生产期2">#REF!</definedName>
    <definedName name="生产期20">#REF!</definedName>
    <definedName name="生产期3">#REF!</definedName>
    <definedName name="生产期4">#REF!</definedName>
    <definedName name="生产期5">#REF!</definedName>
    <definedName name="生产期6">#REF!</definedName>
    <definedName name="生产期7">#REF!</definedName>
    <definedName name="生产期8">#REF!</definedName>
    <definedName name="生产期9">#REF!</definedName>
    <definedName name="事业发展支出">'[18]事业发展'!$E$4:$E$184</definedName>
    <definedName name="是">#REF!</definedName>
    <definedName name="位次d">'[19]四月份月报'!#REF!</definedName>
    <definedName name="乡镇个数">'[20]行政区划'!$D$6:$D$184</definedName>
    <definedName name="行政管理部门编制数">'[10]行政编制'!$E$4:$E$184</definedName>
    <definedName name="性别">'[21]基础编码'!$H$2:$H$3</definedName>
    <definedName name="学历">'[21]基础编码'!$S$2:$S$9</definedName>
    <definedName name="一般预算收入2002年">'[22]2002年一般预算收入'!$AC$4:$AC$184</definedName>
    <definedName name="一般预算收入2003年">'[9]一般预算收入'!$AD$4:$AD$184</definedName>
    <definedName name="一般预算收入合计2003年">'[9]一般预算收入'!$AC$4</definedName>
    <definedName name="支出">'[23]P1012001'!$A$6:$E$117</definedName>
    <definedName name="中国">#REF!</definedName>
    <definedName name="中小学生人数2003年">'[24]中小学生'!$E$4:$E$184</definedName>
    <definedName name="总人口2003年">'[25]总人口'!$E$4:$E$184</definedName>
    <definedName name="_xlnm._FilterDatabase" localSheetId="9" hidden="1">'表4-3'!$A$5:$P$28</definedName>
  </definedNames>
  <calcPr fullCalcOnLoad="1"/>
</workbook>
</file>

<file path=xl/sharedStrings.xml><?xml version="1.0" encoding="utf-8"?>
<sst xmlns="http://schemas.openxmlformats.org/spreadsheetml/2006/main" count="2706" uniqueCount="1582">
  <si>
    <t>市十五届人大二次</t>
  </si>
  <si>
    <t>会议文件（ ）</t>
  </si>
  <si>
    <t>2016年市级总预算执行情况和</t>
  </si>
  <si>
    <t>2017年市级总预算草案表</t>
  </si>
  <si>
    <t>表1</t>
  </si>
  <si>
    <t>2016年南昌市地方一般公共收支预算执行表</t>
  </si>
  <si>
    <t>单位：万元</t>
  </si>
  <si>
    <t>收入项目</t>
  </si>
  <si>
    <t>2016年
执行数</t>
  </si>
  <si>
    <t>2015年
决算数</t>
  </si>
  <si>
    <t>2016年比
2015年±%</t>
  </si>
  <si>
    <t>支出项目</t>
  </si>
  <si>
    <t>一、税收收入</t>
  </si>
  <si>
    <t>一、一般公共服务</t>
  </si>
  <si>
    <r>
      <t xml:space="preserve">       </t>
    </r>
    <r>
      <rPr>
        <sz val="9"/>
        <rFont val="宋体"/>
        <family val="0"/>
      </rPr>
      <t>增值税</t>
    </r>
  </si>
  <si>
    <t>二、外交</t>
  </si>
  <si>
    <r>
      <t xml:space="preserve">       </t>
    </r>
    <r>
      <rPr>
        <sz val="9"/>
        <rFont val="宋体"/>
        <family val="0"/>
      </rPr>
      <t>营业税</t>
    </r>
  </si>
  <si>
    <t>三、国防</t>
  </si>
  <si>
    <r>
      <t xml:space="preserve">       </t>
    </r>
    <r>
      <rPr>
        <sz val="9"/>
        <rFont val="宋体"/>
        <family val="0"/>
      </rPr>
      <t>企业所得税</t>
    </r>
  </si>
  <si>
    <t>四、公共安全</t>
  </si>
  <si>
    <r>
      <t xml:space="preserve">       </t>
    </r>
    <r>
      <rPr>
        <sz val="9"/>
        <rFont val="宋体"/>
        <family val="0"/>
      </rPr>
      <t>个人所得税</t>
    </r>
  </si>
  <si>
    <t>五、教育</t>
  </si>
  <si>
    <r>
      <t xml:space="preserve">       </t>
    </r>
    <r>
      <rPr>
        <sz val="9"/>
        <rFont val="宋体"/>
        <family val="0"/>
      </rPr>
      <t>资源税</t>
    </r>
  </si>
  <si>
    <t>六、科学技术</t>
  </si>
  <si>
    <r>
      <t xml:space="preserve">       </t>
    </r>
    <r>
      <rPr>
        <sz val="9"/>
        <rFont val="宋体"/>
        <family val="0"/>
      </rPr>
      <t>城市维护建设税</t>
    </r>
  </si>
  <si>
    <t>七、文化体育与传媒</t>
  </si>
  <si>
    <r>
      <t xml:space="preserve">       </t>
    </r>
    <r>
      <rPr>
        <sz val="9"/>
        <rFont val="宋体"/>
        <family val="0"/>
      </rPr>
      <t>房产税</t>
    </r>
  </si>
  <si>
    <t>八、社会保障和就业</t>
  </si>
  <si>
    <r>
      <t xml:space="preserve">       </t>
    </r>
    <r>
      <rPr>
        <sz val="9"/>
        <rFont val="宋体"/>
        <family val="0"/>
      </rPr>
      <t>印花税</t>
    </r>
  </si>
  <si>
    <t>九、医疗卫生与计划生育</t>
  </si>
  <si>
    <r>
      <t xml:space="preserve">       </t>
    </r>
    <r>
      <rPr>
        <sz val="9"/>
        <rFont val="宋体"/>
        <family val="0"/>
      </rPr>
      <t>城镇土地使用税</t>
    </r>
  </si>
  <si>
    <t>十、节能环保</t>
  </si>
  <si>
    <r>
      <t xml:space="preserve">       </t>
    </r>
    <r>
      <rPr>
        <sz val="9"/>
        <rFont val="宋体"/>
        <family val="0"/>
      </rPr>
      <t>土地增值税</t>
    </r>
  </si>
  <si>
    <t>十一、城乡社区</t>
  </si>
  <si>
    <r>
      <t xml:space="preserve">       </t>
    </r>
    <r>
      <rPr>
        <sz val="9"/>
        <rFont val="宋体"/>
        <family val="0"/>
      </rPr>
      <t>车船税</t>
    </r>
  </si>
  <si>
    <t>十二、农林水</t>
  </si>
  <si>
    <t xml:space="preserve">    耕地占用税</t>
  </si>
  <si>
    <t>十三、交通运输</t>
  </si>
  <si>
    <r>
      <t xml:space="preserve">       </t>
    </r>
    <r>
      <rPr>
        <sz val="9"/>
        <rFont val="宋体"/>
        <family val="0"/>
      </rPr>
      <t>契税</t>
    </r>
  </si>
  <si>
    <t>十四、资源勘探电力信息等事务</t>
  </si>
  <si>
    <r>
      <t xml:space="preserve">       </t>
    </r>
    <r>
      <rPr>
        <sz val="9"/>
        <rFont val="宋体"/>
        <family val="0"/>
      </rPr>
      <t>其他税收收入</t>
    </r>
  </si>
  <si>
    <t>十五、商业服务业等事务</t>
  </si>
  <si>
    <t>二、非税收入</t>
  </si>
  <si>
    <t>十六、金融</t>
  </si>
  <si>
    <r>
      <t xml:space="preserve">       </t>
    </r>
    <r>
      <rPr>
        <sz val="9"/>
        <rFont val="宋体"/>
        <family val="0"/>
      </rPr>
      <t>专项收入</t>
    </r>
  </si>
  <si>
    <t>十七、援助其他地区</t>
  </si>
  <si>
    <r>
      <t xml:space="preserve">       </t>
    </r>
    <r>
      <rPr>
        <sz val="9"/>
        <rFont val="宋体"/>
        <family val="0"/>
      </rPr>
      <t>行政事业性收费收入</t>
    </r>
  </si>
  <si>
    <t>十八、国土资源气象等事务</t>
  </si>
  <si>
    <r>
      <t xml:space="preserve">       </t>
    </r>
    <r>
      <rPr>
        <sz val="9"/>
        <rFont val="宋体"/>
        <family val="0"/>
      </rPr>
      <t>罚没收入</t>
    </r>
  </si>
  <si>
    <t>十九、住房保障</t>
  </si>
  <si>
    <r>
      <t xml:space="preserve">       </t>
    </r>
    <r>
      <rPr>
        <sz val="9"/>
        <rFont val="宋体"/>
        <family val="0"/>
      </rPr>
      <t>国有资本经营收入</t>
    </r>
  </si>
  <si>
    <t>二十、粮油物资储备等事务</t>
  </si>
  <si>
    <r>
      <t xml:space="preserve">       </t>
    </r>
    <r>
      <rPr>
        <sz val="9"/>
        <rFont val="宋体"/>
        <family val="0"/>
      </rPr>
      <t>国有资源（资产）有偿使用收入</t>
    </r>
  </si>
  <si>
    <t>二十一、国债还本付息</t>
  </si>
  <si>
    <r>
      <t xml:space="preserve">       </t>
    </r>
    <r>
      <rPr>
        <sz val="9"/>
        <rFont val="宋体"/>
        <family val="0"/>
      </rPr>
      <t>其他收入</t>
    </r>
  </si>
  <si>
    <t>二十二、其他支出</t>
  </si>
  <si>
    <t>收入合计</t>
  </si>
  <si>
    <t>支出合计</t>
  </si>
  <si>
    <t>表2-1</t>
  </si>
  <si>
    <t>2016年南昌市市本级地方一般公共收支预算执行表</t>
  </si>
  <si>
    <t>2016年            执行数</t>
  </si>
  <si>
    <r>
      <t xml:space="preserve">       </t>
    </r>
    <r>
      <rPr>
        <sz val="9"/>
        <rFont val="宋体"/>
        <family val="0"/>
      </rPr>
      <t>其他税收</t>
    </r>
  </si>
  <si>
    <t>表2-2</t>
  </si>
  <si>
    <t>2016年南昌市经济技术开发区地方一般公共收支预算执行表</t>
  </si>
  <si>
    <t>表2-3</t>
  </si>
  <si>
    <t>2016年南昌市高新开发区地方一般公共收支预算执行表</t>
  </si>
  <si>
    <t>表2-4</t>
  </si>
  <si>
    <t>2016年南昌市红谷滩新区地方一般公共收支预算执行表</t>
  </si>
  <si>
    <t>表3</t>
  </si>
  <si>
    <t>2016年南昌市地方一般公共收支预算执行情况表</t>
  </si>
  <si>
    <t>县区</t>
  </si>
  <si>
    <t>　收入</t>
  </si>
  <si>
    <t>　支出</t>
  </si>
  <si>
    <t xml:space="preserve">2011年预算数 </t>
  </si>
  <si>
    <r>
      <t>2015</t>
    </r>
    <r>
      <rPr>
        <sz val="9"/>
        <rFont val="宋体"/>
        <family val="0"/>
      </rPr>
      <t>年
决算数</t>
    </r>
  </si>
  <si>
    <t>全市合计</t>
  </si>
  <si>
    <t>市本级</t>
  </si>
  <si>
    <t>县区小计</t>
  </si>
  <si>
    <t>南昌县</t>
  </si>
  <si>
    <t>新建区</t>
  </si>
  <si>
    <t>进贤县</t>
  </si>
  <si>
    <t>安义县</t>
  </si>
  <si>
    <t>湾里区</t>
  </si>
  <si>
    <t>青山湖区</t>
  </si>
  <si>
    <t>东湖区</t>
  </si>
  <si>
    <t>西湖区</t>
  </si>
  <si>
    <t>青云谱区</t>
  </si>
  <si>
    <t>经开区</t>
  </si>
  <si>
    <t>高新区</t>
  </si>
  <si>
    <t>红谷滩新区</t>
  </si>
  <si>
    <t>表4-1</t>
  </si>
  <si>
    <t>2017年南昌市市本级地方一般公共预算收入草案表</t>
  </si>
  <si>
    <r>
      <t>收入项</t>
    </r>
    <r>
      <rPr>
        <sz val="9"/>
        <rFont val="Times New Roman"/>
        <family val="1"/>
      </rPr>
      <t xml:space="preserve"> </t>
    </r>
    <r>
      <rPr>
        <sz val="9"/>
        <rFont val="宋体"/>
        <family val="0"/>
      </rPr>
      <t>目</t>
    </r>
  </si>
  <si>
    <t>2017年
预算数</t>
  </si>
  <si>
    <t>同口径增长%</t>
  </si>
  <si>
    <t>2016年实际完成数</t>
  </si>
  <si>
    <t>考虑中央、省、市调整体制后的数字</t>
  </si>
  <si>
    <r>
      <t xml:space="preserve">            </t>
    </r>
    <r>
      <rPr>
        <sz val="9"/>
        <rFont val="宋体"/>
        <family val="0"/>
      </rPr>
      <t>增值税</t>
    </r>
    <r>
      <rPr>
        <sz val="9"/>
        <rFont val="Times New Roman"/>
        <family val="1"/>
      </rPr>
      <t>(</t>
    </r>
    <r>
      <rPr>
        <sz val="9"/>
        <rFont val="宋体"/>
        <family val="0"/>
      </rPr>
      <t>含改征增值税、营业税</t>
    </r>
    <r>
      <rPr>
        <sz val="9"/>
        <rFont val="Times New Roman"/>
        <family val="1"/>
      </rPr>
      <t>)</t>
    </r>
  </si>
  <si>
    <r>
      <t xml:space="preserve">            </t>
    </r>
    <r>
      <rPr>
        <sz val="9"/>
        <rFont val="宋体"/>
        <family val="0"/>
      </rPr>
      <t>企业所得税</t>
    </r>
  </si>
  <si>
    <r>
      <t xml:space="preserve">            </t>
    </r>
    <r>
      <rPr>
        <sz val="9"/>
        <rFont val="宋体"/>
        <family val="0"/>
      </rPr>
      <t>个人所得税</t>
    </r>
  </si>
  <si>
    <r>
      <t xml:space="preserve">            </t>
    </r>
    <r>
      <rPr>
        <sz val="9"/>
        <rFont val="宋体"/>
        <family val="0"/>
      </rPr>
      <t>资源税</t>
    </r>
  </si>
  <si>
    <r>
      <t xml:space="preserve">            </t>
    </r>
    <r>
      <rPr>
        <sz val="9"/>
        <rFont val="宋体"/>
        <family val="0"/>
      </rPr>
      <t>城市维护建设税</t>
    </r>
  </si>
  <si>
    <r>
      <t xml:space="preserve">            </t>
    </r>
    <r>
      <rPr>
        <sz val="9"/>
        <rFont val="宋体"/>
        <family val="0"/>
      </rPr>
      <t>房产税</t>
    </r>
  </si>
  <si>
    <r>
      <t xml:space="preserve">            </t>
    </r>
    <r>
      <rPr>
        <sz val="9"/>
        <rFont val="宋体"/>
        <family val="0"/>
      </rPr>
      <t>印花税</t>
    </r>
  </si>
  <si>
    <r>
      <t xml:space="preserve">            </t>
    </r>
    <r>
      <rPr>
        <sz val="9"/>
        <rFont val="宋体"/>
        <family val="0"/>
      </rPr>
      <t>城镇土地使用税</t>
    </r>
  </si>
  <si>
    <r>
      <t xml:space="preserve">            </t>
    </r>
    <r>
      <rPr>
        <sz val="9"/>
        <rFont val="宋体"/>
        <family val="0"/>
      </rPr>
      <t>土地增值税</t>
    </r>
  </si>
  <si>
    <t xml:space="preserve">      耕地占用税</t>
  </si>
  <si>
    <r>
      <t xml:space="preserve">            </t>
    </r>
    <r>
      <rPr>
        <sz val="9"/>
        <rFont val="宋体"/>
        <family val="0"/>
      </rPr>
      <t>契税</t>
    </r>
  </si>
  <si>
    <r>
      <t xml:space="preserve">            </t>
    </r>
    <r>
      <rPr>
        <sz val="9"/>
        <rFont val="宋体"/>
        <family val="0"/>
      </rPr>
      <t>其他税收收入</t>
    </r>
  </si>
  <si>
    <r>
      <t xml:space="preserve">            </t>
    </r>
    <r>
      <rPr>
        <sz val="9"/>
        <rFont val="宋体"/>
        <family val="0"/>
      </rPr>
      <t>专项收入</t>
    </r>
  </si>
  <si>
    <r>
      <t xml:space="preserve">           </t>
    </r>
    <r>
      <rPr>
        <sz val="9"/>
        <rFont val="宋体"/>
        <family val="0"/>
      </rPr>
      <t>行政事业性收费收入</t>
    </r>
  </si>
  <si>
    <r>
      <t xml:space="preserve">           </t>
    </r>
    <r>
      <rPr>
        <sz val="9"/>
        <rFont val="宋体"/>
        <family val="0"/>
      </rPr>
      <t>罚没收入</t>
    </r>
  </si>
  <si>
    <r>
      <t xml:space="preserve">           </t>
    </r>
    <r>
      <rPr>
        <sz val="9"/>
        <rFont val="宋体"/>
        <family val="0"/>
      </rPr>
      <t>国有资源（资产）有偿使用收入</t>
    </r>
  </si>
  <si>
    <r>
      <t xml:space="preserve">            </t>
    </r>
    <r>
      <rPr>
        <sz val="9"/>
        <rFont val="宋体"/>
        <family val="0"/>
      </rPr>
      <t>其他收入</t>
    </r>
  </si>
  <si>
    <t>表4-2</t>
  </si>
  <si>
    <t>2017年南昌市市本级地方一般公共预算支出安排情况表</t>
  </si>
  <si>
    <t>支出科目代码</t>
  </si>
  <si>
    <t>支出科目</t>
  </si>
  <si>
    <t>2016年
预算数</t>
  </si>
  <si>
    <t>增长额</t>
  </si>
  <si>
    <t>2017年比
2016年±%</t>
  </si>
  <si>
    <t>备注</t>
  </si>
  <si>
    <t>总计</t>
  </si>
  <si>
    <t>一般公共服务支出</t>
  </si>
  <si>
    <t>人大事务</t>
  </si>
  <si>
    <t>2010101</t>
  </si>
  <si>
    <t xml:space="preserve"> 行政运行（人大事务）</t>
  </si>
  <si>
    <t>2010102</t>
  </si>
  <si>
    <t xml:space="preserve"> 一般行政管理事务（人大事务）</t>
  </si>
  <si>
    <t>2010103</t>
  </si>
  <si>
    <t xml:space="preserve"> 机关服务（人大事务）</t>
  </si>
  <si>
    <t>2010105</t>
  </si>
  <si>
    <t xml:space="preserve"> 人大立法</t>
  </si>
  <si>
    <t>2010108</t>
  </si>
  <si>
    <t xml:space="preserve"> 代表工作</t>
  </si>
  <si>
    <t>政协事务</t>
  </si>
  <si>
    <t>2010201</t>
  </si>
  <si>
    <t xml:space="preserve"> 行政运行（政协事务）</t>
  </si>
  <si>
    <t>2010202</t>
  </si>
  <si>
    <t xml:space="preserve"> 一般行政管理事务（政协事务）</t>
  </si>
  <si>
    <t>2010203</t>
  </si>
  <si>
    <t xml:space="preserve"> 机关服务（政协事务）</t>
  </si>
  <si>
    <t>2010205</t>
  </si>
  <si>
    <t xml:space="preserve"> 委员视察</t>
  </si>
  <si>
    <t>政府办公厅（室）及相关机构事务</t>
  </si>
  <si>
    <t xml:space="preserve"> 行政运行（政府办公厅）</t>
  </si>
  <si>
    <t xml:space="preserve"> 一般行政管理事务（政府办公厅（室）及相关机构事务）</t>
  </si>
  <si>
    <t>2010303</t>
  </si>
  <si>
    <t xml:space="preserve"> 机关服务（政府办公厅（室）及相关机构事务）</t>
  </si>
  <si>
    <t>2010308</t>
  </si>
  <si>
    <t xml:space="preserve"> 信访事务</t>
  </si>
  <si>
    <t>2010350</t>
  </si>
  <si>
    <t xml:space="preserve"> 事业运行（政府办公厅（室）及相关机构事务）</t>
  </si>
  <si>
    <t xml:space="preserve"> 其他政府办公厅及相关机构事务支出</t>
  </si>
  <si>
    <t>发展与改革事务</t>
  </si>
  <si>
    <t>2010401</t>
  </si>
  <si>
    <t xml:space="preserve"> 行政运行（发展与改革事务）</t>
  </si>
  <si>
    <t>2010402</t>
  </si>
  <si>
    <t xml:space="preserve"> 一般行政管理事务（发展与改革事务）</t>
  </si>
  <si>
    <t>2010408</t>
  </si>
  <si>
    <t xml:space="preserve"> 物价管理</t>
  </si>
  <si>
    <t>2010450</t>
  </si>
  <si>
    <t xml:space="preserve"> 事业运行（发展与改革事务）</t>
  </si>
  <si>
    <t>2010499</t>
  </si>
  <si>
    <t xml:space="preserve"> 其他发展与改革事务支出</t>
  </si>
  <si>
    <t>统计信息事务</t>
  </si>
  <si>
    <t>2010501</t>
  </si>
  <si>
    <t xml:space="preserve"> 行政运行（统计信息事务）</t>
  </si>
  <si>
    <t>2010502</t>
  </si>
  <si>
    <t xml:space="preserve"> 一般行政管理事务（统计信息事务）</t>
  </si>
  <si>
    <t>2010550</t>
  </si>
  <si>
    <t xml:space="preserve"> 事业运行（统计信息事务）</t>
  </si>
  <si>
    <t>2010599</t>
  </si>
  <si>
    <t xml:space="preserve"> 其他统计信息事务支出</t>
  </si>
  <si>
    <t>财政事务</t>
  </si>
  <si>
    <t>2010601</t>
  </si>
  <si>
    <t xml:space="preserve"> 行政运行（财政事务）</t>
  </si>
  <si>
    <t>2010602</t>
  </si>
  <si>
    <t xml:space="preserve"> 一般行政管理事务（财政事务）</t>
  </si>
  <si>
    <t xml:space="preserve"> 财政国库业务</t>
  </si>
  <si>
    <t>2010650</t>
  </si>
  <si>
    <t xml:space="preserve"> 事业运行（财政事务）</t>
  </si>
  <si>
    <t>2010699</t>
  </si>
  <si>
    <t xml:space="preserve"> 其他财政事务支出</t>
  </si>
  <si>
    <t>税收事务</t>
  </si>
  <si>
    <t>2010701</t>
  </si>
  <si>
    <t xml:space="preserve"> 行政运行（税收事务）</t>
  </si>
  <si>
    <t xml:space="preserve"> 协税护税</t>
  </si>
  <si>
    <t xml:space="preserve"> 其他税收事务支出</t>
  </si>
  <si>
    <t>审计事务</t>
  </si>
  <si>
    <t>2010801</t>
  </si>
  <si>
    <t xml:space="preserve"> 行政运行（审计事务）</t>
  </si>
  <si>
    <t>2010802</t>
  </si>
  <si>
    <t xml:space="preserve"> 一般行政管理事务（审计事务）</t>
  </si>
  <si>
    <t>人力资源事务</t>
  </si>
  <si>
    <t>2011001</t>
  </si>
  <si>
    <t xml:space="preserve"> 行政运行（人力资源事务）</t>
  </si>
  <si>
    <t>2011002</t>
  </si>
  <si>
    <t xml:space="preserve"> 一般行政管理事务（人力资源事务）</t>
  </si>
  <si>
    <t>2011006</t>
  </si>
  <si>
    <t xml:space="preserve"> 军队转移干部安置</t>
  </si>
  <si>
    <t>2011050</t>
  </si>
  <si>
    <t xml:space="preserve"> 事业运行（人力资源事务）</t>
  </si>
  <si>
    <t>2011099</t>
  </si>
  <si>
    <t xml:space="preserve"> 其他人力资源事务支出</t>
  </si>
  <si>
    <t>纪检监察事务</t>
  </si>
  <si>
    <t>2011101</t>
  </si>
  <si>
    <t xml:space="preserve"> 行政运行（纪检监察事务）</t>
  </si>
  <si>
    <t>2011102</t>
  </si>
  <si>
    <t xml:space="preserve"> 一般行政管理事务（纪检监察事务）</t>
  </si>
  <si>
    <t>事业运行（纪检监察事务）</t>
  </si>
  <si>
    <t>商贸事务</t>
  </si>
  <si>
    <t>2011301</t>
  </si>
  <si>
    <t xml:space="preserve"> 行政运行（商贸事务）</t>
  </si>
  <si>
    <t>2011302</t>
  </si>
  <si>
    <t xml:space="preserve"> 一般行政管理事务（商贸事务）</t>
  </si>
  <si>
    <t>2011350</t>
  </si>
  <si>
    <t xml:space="preserve"> 事业运行（商贸事务）</t>
  </si>
  <si>
    <t>2011399</t>
  </si>
  <si>
    <t xml:space="preserve"> 其他商贸事务支出</t>
  </si>
  <si>
    <t>知识产权事务</t>
  </si>
  <si>
    <t>2011401</t>
  </si>
  <si>
    <t xml:space="preserve"> 行政运行（知识产权事务）</t>
  </si>
  <si>
    <t>2011499</t>
  </si>
  <si>
    <t xml:space="preserve"> 其他知识产权事务支出</t>
  </si>
  <si>
    <t>工商行政管理事务</t>
  </si>
  <si>
    <t xml:space="preserve"> 行政运行（工商行政管理事务）</t>
  </si>
  <si>
    <t xml:space="preserve"> 一般行政管理事务（工商行政管理事务）</t>
  </si>
  <si>
    <t xml:space="preserve"> 机关服务（工商行政管理事务）</t>
  </si>
  <si>
    <t xml:space="preserve"> 信息化建设（工商行政管理事务）</t>
  </si>
  <si>
    <t xml:space="preserve"> 事业运行（工商行政管理事务）</t>
  </si>
  <si>
    <t xml:space="preserve"> 其他工商行政管理事务支出</t>
  </si>
  <si>
    <t>质量技术监督与检验检疫事务</t>
  </si>
  <si>
    <t xml:space="preserve"> 一般行政管理事务（质量技术监督与检验检疫事务）</t>
  </si>
  <si>
    <t xml:space="preserve"> 质量技术监督行政执法及业务管理</t>
  </si>
  <si>
    <t xml:space="preserve"> 事业运行（质量技术监督与检验检疫事务）</t>
  </si>
  <si>
    <t xml:space="preserve"> 其他质量技术监督与检验检疫事务支出</t>
  </si>
  <si>
    <t>宗教事务</t>
  </si>
  <si>
    <t>2012401</t>
  </si>
  <si>
    <t xml:space="preserve"> 行政运行（宗教事务）</t>
  </si>
  <si>
    <t>2012402</t>
  </si>
  <si>
    <t xml:space="preserve"> 一般行政管理事务（宗教事务）</t>
  </si>
  <si>
    <t>2012450</t>
  </si>
  <si>
    <t xml:space="preserve"> 事业运行（宗教事务）</t>
  </si>
  <si>
    <t>2012499</t>
  </si>
  <si>
    <t xml:space="preserve"> 其他宗教事务支出</t>
  </si>
  <si>
    <t>港澳台侨事务</t>
  </si>
  <si>
    <t>2012501</t>
  </si>
  <si>
    <t xml:space="preserve"> 行政运行（港澳台侨事务）</t>
  </si>
  <si>
    <t>2012502</t>
  </si>
  <si>
    <t xml:space="preserve"> 一般行政管理事务（港澳台侨事务）</t>
  </si>
  <si>
    <t>档案事务</t>
  </si>
  <si>
    <t>2012601</t>
  </si>
  <si>
    <t xml:space="preserve"> 行政运行（档案事务）</t>
  </si>
  <si>
    <t>2012602</t>
  </si>
  <si>
    <t xml:space="preserve"> 一般行政管理事务（档案事务）</t>
  </si>
  <si>
    <t xml:space="preserve"> 档案馆</t>
  </si>
  <si>
    <t>民主党派及工商联事务</t>
  </si>
  <si>
    <t>2012801</t>
  </si>
  <si>
    <t xml:space="preserve"> 行政运行（民主党派及工商联事务）</t>
  </si>
  <si>
    <t>2012802</t>
  </si>
  <si>
    <t xml:space="preserve"> 一般行政管理事务（民主党派及工商联事务）</t>
  </si>
  <si>
    <t>2012804</t>
  </si>
  <si>
    <t xml:space="preserve"> 参政议政（民主党派及工商联事务）</t>
  </si>
  <si>
    <t>群众团体事务</t>
  </si>
  <si>
    <t>2012901</t>
  </si>
  <si>
    <t xml:space="preserve"> 行政运行（群众团体事务）</t>
  </si>
  <si>
    <t>2012902</t>
  </si>
  <si>
    <t xml:space="preserve"> 一般行政管理事务（群众团体事务）</t>
  </si>
  <si>
    <t>2012950</t>
  </si>
  <si>
    <t xml:space="preserve"> 事业运行（群众团体事务）</t>
  </si>
  <si>
    <t>2012999</t>
  </si>
  <si>
    <t xml:space="preserve"> 其他群众团体事务支出</t>
  </si>
  <si>
    <t>党委办公厅（室）及相关机构事务</t>
  </si>
  <si>
    <t>2013101</t>
  </si>
  <si>
    <t xml:space="preserve"> 行政运行（党委办公厅（室）及相关机构事务）</t>
  </si>
  <si>
    <t>2013102</t>
  </si>
  <si>
    <t xml:space="preserve"> 一般行政管理事务（党委办公厅（室）及相关机构事务）</t>
  </si>
  <si>
    <t>2013103</t>
  </si>
  <si>
    <t xml:space="preserve"> 机关服务（党委办公厅（室）及相关机构事务）</t>
  </si>
  <si>
    <t>组织事务</t>
  </si>
  <si>
    <t>2013201</t>
  </si>
  <si>
    <t xml:space="preserve"> 行政运行（组织事务）</t>
  </si>
  <si>
    <t>2013202</t>
  </si>
  <si>
    <t xml:space="preserve"> 一般行政管理事务（组织事务）</t>
  </si>
  <si>
    <t>2013250</t>
  </si>
  <si>
    <t xml:space="preserve"> 事业运行（组织事务）</t>
  </si>
  <si>
    <t>宣传事务</t>
  </si>
  <si>
    <t>2013301</t>
  </si>
  <si>
    <t xml:space="preserve"> 行政运行（宣传事务）</t>
  </si>
  <si>
    <t>2013302</t>
  </si>
  <si>
    <t xml:space="preserve"> 一般行政管理事务（宣传事务）</t>
  </si>
  <si>
    <t>2013350</t>
  </si>
  <si>
    <t xml:space="preserve"> 事业运行（宣传事务）</t>
  </si>
  <si>
    <t>2013399</t>
  </si>
  <si>
    <t xml:space="preserve"> 其他宣传事务支出</t>
  </si>
  <si>
    <t>统战事务</t>
  </si>
  <si>
    <t>2013401</t>
  </si>
  <si>
    <t xml:space="preserve"> 行政运行（统战事务）</t>
  </si>
  <si>
    <t>2013402</t>
  </si>
  <si>
    <t xml:space="preserve"> 一般行政管理事务（统战事务）</t>
  </si>
  <si>
    <t>其他共产党事务支出</t>
  </si>
  <si>
    <t>2013601</t>
  </si>
  <si>
    <t xml:space="preserve"> 行政运行（其他共产党事务支出）</t>
  </si>
  <si>
    <t>2013602</t>
  </si>
  <si>
    <t xml:space="preserve"> 一般行政管理事务（其他共产党事务支出）</t>
  </si>
  <si>
    <t>2013650</t>
  </si>
  <si>
    <t xml:space="preserve"> 事业运行（其他共产党事务支出）</t>
  </si>
  <si>
    <t>2013699</t>
  </si>
  <si>
    <t xml:space="preserve"> 其他共产党事务支出（其他共产党事务支出）</t>
  </si>
  <si>
    <t>其他一般公共服务支出</t>
  </si>
  <si>
    <t xml:space="preserve"> 其他一般公共服务支出</t>
  </si>
  <si>
    <t>国防支出</t>
  </si>
  <si>
    <t>其他国防支出</t>
  </si>
  <si>
    <t>2039901</t>
  </si>
  <si>
    <t xml:space="preserve"> 其他国防支出</t>
  </si>
  <si>
    <t>公共安全支出</t>
  </si>
  <si>
    <t>武装警察</t>
  </si>
  <si>
    <t>2040101</t>
  </si>
  <si>
    <t xml:space="preserve"> 内卫</t>
  </si>
  <si>
    <t>2040102</t>
  </si>
  <si>
    <t xml:space="preserve"> 边防</t>
  </si>
  <si>
    <t xml:space="preserve"> 消防</t>
  </si>
  <si>
    <t>2040104</t>
  </si>
  <si>
    <t xml:space="preserve"> 警卫</t>
  </si>
  <si>
    <t>公安</t>
  </si>
  <si>
    <t>2040201</t>
  </si>
  <si>
    <t xml:space="preserve"> 行政运行（公安）</t>
  </si>
  <si>
    <t>2040202</t>
  </si>
  <si>
    <t xml:space="preserve"> 一般行政管理事务（公安）</t>
  </si>
  <si>
    <t xml:space="preserve"> 道路交通管理</t>
  </si>
  <si>
    <t xml:space="preserve"> 警犬繁育及驯养</t>
  </si>
  <si>
    <t>国家安全</t>
  </si>
  <si>
    <t>2040302</t>
  </si>
  <si>
    <t xml:space="preserve"> 一般行政管理事务</t>
  </si>
  <si>
    <t>检察</t>
  </si>
  <si>
    <t>2040401</t>
  </si>
  <si>
    <t xml:space="preserve"> 行政运行（检察）</t>
  </si>
  <si>
    <t>2040402</t>
  </si>
  <si>
    <t xml:space="preserve"> 一般行政管理事务（检察）</t>
  </si>
  <si>
    <t xml:space="preserve"> 事业运行（检察）</t>
  </si>
  <si>
    <t>法院</t>
  </si>
  <si>
    <t>2040501</t>
  </si>
  <si>
    <t xml:space="preserve"> 行政运行（法院）</t>
  </si>
  <si>
    <t>2040502</t>
  </si>
  <si>
    <t xml:space="preserve"> 一般行政管理事务（法院）</t>
  </si>
  <si>
    <t>司法</t>
  </si>
  <si>
    <t>2040601</t>
  </si>
  <si>
    <t xml:space="preserve"> 行政运行（司法）</t>
  </si>
  <si>
    <t>2040602</t>
  </si>
  <si>
    <t xml:space="preserve"> 一般行政管理事务（司法）</t>
  </si>
  <si>
    <t>2040604</t>
  </si>
  <si>
    <t xml:space="preserve"> 基层司法业务</t>
  </si>
  <si>
    <t>2040605</t>
  </si>
  <si>
    <t xml:space="preserve"> 普法宣传</t>
  </si>
  <si>
    <t>2040606</t>
  </si>
  <si>
    <t xml:space="preserve"> 律师公证管理</t>
  </si>
  <si>
    <t>2040607</t>
  </si>
  <si>
    <t xml:space="preserve"> 法律援助</t>
  </si>
  <si>
    <t xml:space="preserve"> 事业运行</t>
  </si>
  <si>
    <t xml:space="preserve"> 其他司法支出</t>
  </si>
  <si>
    <t>强制隔离戒毒</t>
  </si>
  <si>
    <t>2040801</t>
  </si>
  <si>
    <t xml:space="preserve"> 行政运行（强制隔离戒毒）</t>
  </si>
  <si>
    <t>2040802</t>
  </si>
  <si>
    <t xml:space="preserve"> 一般行政管理事务（强制隔离戒毒）</t>
  </si>
  <si>
    <t xml:space="preserve"> 强制隔离戒毒人员生活</t>
  </si>
  <si>
    <t>国家保密</t>
  </si>
  <si>
    <t>2040901</t>
  </si>
  <si>
    <t xml:space="preserve"> 行政运行（国家保密）</t>
  </si>
  <si>
    <t>2040902</t>
  </si>
  <si>
    <t xml:space="preserve"> 一般行政管理事务（国家保密）</t>
  </si>
  <si>
    <t>2040950</t>
  </si>
  <si>
    <t xml:space="preserve"> 事业运行（国家保密）</t>
  </si>
  <si>
    <t>2040999</t>
  </si>
  <si>
    <t xml:space="preserve"> 其他国家保密支出</t>
  </si>
  <si>
    <t>其他公共安全支出</t>
  </si>
  <si>
    <t>2049901</t>
  </si>
  <si>
    <t xml:space="preserve"> 其他公共安全支出</t>
  </si>
  <si>
    <t>教育支出</t>
  </si>
  <si>
    <t>教育管理事务</t>
  </si>
  <si>
    <t>2050101</t>
  </si>
  <si>
    <t xml:space="preserve"> 行政运行（教育管理事务）</t>
  </si>
  <si>
    <t>2050102</t>
  </si>
  <si>
    <t xml:space="preserve"> 一般行政管理事务（教育管理事务）</t>
  </si>
  <si>
    <t>2050199</t>
  </si>
  <si>
    <t xml:space="preserve"> 其他教育管理事务支出</t>
  </si>
  <si>
    <t>普通教育</t>
  </si>
  <si>
    <t>2050201</t>
  </si>
  <si>
    <t xml:space="preserve"> 学前教育</t>
  </si>
  <si>
    <t>2050202</t>
  </si>
  <si>
    <t xml:space="preserve"> 小学教育</t>
  </si>
  <si>
    <t>2050203</t>
  </si>
  <si>
    <t xml:space="preserve"> 初中教育</t>
  </si>
  <si>
    <t>2050204</t>
  </si>
  <si>
    <t xml:space="preserve"> 高中教育</t>
  </si>
  <si>
    <t>2050205</t>
  </si>
  <si>
    <t xml:space="preserve"> 高等教育</t>
  </si>
  <si>
    <t xml:space="preserve"> 其他普通教育支出</t>
  </si>
  <si>
    <t>职业教育</t>
  </si>
  <si>
    <t>2050302</t>
  </si>
  <si>
    <t xml:space="preserve"> 中专教育</t>
  </si>
  <si>
    <t>2050303</t>
  </si>
  <si>
    <t xml:space="preserve"> 技校教育</t>
  </si>
  <si>
    <t>2050304</t>
  </si>
  <si>
    <t xml:space="preserve"> 职业高中教育</t>
  </si>
  <si>
    <t xml:space="preserve"> 其他职业教育支出</t>
  </si>
  <si>
    <t>成人教育</t>
  </si>
  <si>
    <t>2050403</t>
  </si>
  <si>
    <t xml:space="preserve"> 成人高等教育</t>
  </si>
  <si>
    <t>广播电视教育</t>
  </si>
  <si>
    <t>2050501</t>
  </si>
  <si>
    <t xml:space="preserve"> 广播电视学校</t>
  </si>
  <si>
    <t>特殊教育</t>
  </si>
  <si>
    <t xml:space="preserve"> 特殊学校教育</t>
  </si>
  <si>
    <t>进修及培训</t>
  </si>
  <si>
    <t>2050801</t>
  </si>
  <si>
    <t xml:space="preserve"> 教师进修</t>
  </si>
  <si>
    <t>2050802</t>
  </si>
  <si>
    <t xml:space="preserve"> 干部教育</t>
  </si>
  <si>
    <t xml:space="preserve"> 其他进修及培训</t>
  </si>
  <si>
    <t>教育费附加安排的支出</t>
  </si>
  <si>
    <t xml:space="preserve"> 其他教育费附加安排的支出</t>
  </si>
  <si>
    <t>其他教育支出</t>
  </si>
  <si>
    <t xml:space="preserve"> 其他教育支出</t>
  </si>
  <si>
    <t>科学技术支出</t>
  </si>
  <si>
    <t>科学技术管理事务</t>
  </si>
  <si>
    <t>2060101</t>
  </si>
  <si>
    <t xml:space="preserve"> 行政运行（科学技术管理事务）</t>
  </si>
  <si>
    <t xml:space="preserve"> 一般行政管理事务（科学技术管理事务）</t>
  </si>
  <si>
    <t>2060199</t>
  </si>
  <si>
    <t xml:space="preserve"> 其他科学技术管理事务支出</t>
  </si>
  <si>
    <t>应用研究</t>
  </si>
  <si>
    <t xml:space="preserve"> 社会公益研究</t>
  </si>
  <si>
    <t>技术研究与开发</t>
  </si>
  <si>
    <t>2060402</t>
  </si>
  <si>
    <t xml:space="preserve"> 应用技术研究与开发</t>
  </si>
  <si>
    <t>科技条件与服务</t>
  </si>
  <si>
    <t>2060501</t>
  </si>
  <si>
    <t xml:space="preserve"> 机构运行（科技条件与服务）</t>
  </si>
  <si>
    <t>社会科学</t>
  </si>
  <si>
    <t>2060601</t>
  </si>
  <si>
    <t xml:space="preserve"> 社会科学研究机构</t>
  </si>
  <si>
    <t>2060699</t>
  </si>
  <si>
    <t xml:space="preserve"> 其他社会科学支出</t>
  </si>
  <si>
    <t>科学技术普及</t>
  </si>
  <si>
    <t>2060701</t>
  </si>
  <si>
    <t xml:space="preserve"> 机构运行（科学技术普及）</t>
  </si>
  <si>
    <t>2060705</t>
  </si>
  <si>
    <t xml:space="preserve"> 科技馆站</t>
  </si>
  <si>
    <t>2060799</t>
  </si>
  <si>
    <t xml:space="preserve"> 其他科学技术普及支出</t>
  </si>
  <si>
    <t>其他科学技术支出</t>
  </si>
  <si>
    <t>2069901</t>
  </si>
  <si>
    <t xml:space="preserve"> 科技奖励</t>
  </si>
  <si>
    <t xml:space="preserve"> 其他科学技术支出</t>
  </si>
  <si>
    <t>文化体育与传媒支出</t>
  </si>
  <si>
    <t>文化</t>
  </si>
  <si>
    <t>2070101</t>
  </si>
  <si>
    <t xml:space="preserve"> 行政运行（文化）</t>
  </si>
  <si>
    <t>2070102</t>
  </si>
  <si>
    <t xml:space="preserve"> 一般行政管理事务（文化）</t>
  </si>
  <si>
    <t>2070104</t>
  </si>
  <si>
    <t xml:space="preserve"> 图书馆</t>
  </si>
  <si>
    <t>2070106</t>
  </si>
  <si>
    <t xml:space="preserve"> 艺术表演场所</t>
  </si>
  <si>
    <t xml:space="preserve"> 艺术表演团体</t>
  </si>
  <si>
    <t>2070109</t>
  </si>
  <si>
    <t xml:space="preserve"> 群众文化</t>
  </si>
  <si>
    <t>2070111</t>
  </si>
  <si>
    <t xml:space="preserve"> 文化创作与保护</t>
  </si>
  <si>
    <t>2070112</t>
  </si>
  <si>
    <t xml:space="preserve"> 文化市场管理</t>
  </si>
  <si>
    <t>2070199</t>
  </si>
  <si>
    <t xml:space="preserve"> 其他文化支出</t>
  </si>
  <si>
    <t>文物</t>
  </si>
  <si>
    <t xml:space="preserve"> 行政运行（文物）</t>
  </si>
  <si>
    <t xml:space="preserve"> 一般行政管理事务（文物）</t>
  </si>
  <si>
    <t>2070205</t>
  </si>
  <si>
    <t xml:space="preserve"> 博物馆</t>
  </si>
  <si>
    <t>体育</t>
  </si>
  <si>
    <t>2070301</t>
  </si>
  <si>
    <t xml:space="preserve"> 行政运行（体育）</t>
  </si>
  <si>
    <t>2070302</t>
  </si>
  <si>
    <t xml:space="preserve"> 一般行政管理事务（体育）</t>
  </si>
  <si>
    <t>2070304</t>
  </si>
  <si>
    <t xml:space="preserve"> 运动项目管理</t>
  </si>
  <si>
    <t xml:space="preserve"> 体育竞赛</t>
  </si>
  <si>
    <t>2070307</t>
  </si>
  <si>
    <t xml:space="preserve"> 体育场馆</t>
  </si>
  <si>
    <t>2070399</t>
  </si>
  <si>
    <t xml:space="preserve"> 其他体育支出</t>
  </si>
  <si>
    <t>广播影视</t>
  </si>
  <si>
    <t>2070401</t>
  </si>
  <si>
    <t xml:space="preserve"> 行政运行（广播影视）</t>
  </si>
  <si>
    <t>2070402</t>
  </si>
  <si>
    <t xml:space="preserve"> 一般行政管理事务（广播影视）</t>
  </si>
  <si>
    <t>2070404</t>
  </si>
  <si>
    <t xml:space="preserve"> 广播</t>
  </si>
  <si>
    <t>2070405</t>
  </si>
  <si>
    <t xml:space="preserve"> 电视</t>
  </si>
  <si>
    <t>其他文化体育与传媒支出</t>
  </si>
  <si>
    <t xml:space="preserve"> 其他文化体育与传媒支出</t>
  </si>
  <si>
    <t>社会保障和就业支出</t>
  </si>
  <si>
    <t>人力资源和社会保障管理事务</t>
  </si>
  <si>
    <t>2080101</t>
  </si>
  <si>
    <t xml:space="preserve"> 行政运行（人力资源和社会保障管理事务）</t>
  </si>
  <si>
    <t>2080102</t>
  </si>
  <si>
    <t xml:space="preserve"> 一般行政管理事务（人力资源和社会保障管理事务）</t>
  </si>
  <si>
    <t>2080105</t>
  </si>
  <si>
    <t xml:space="preserve"> 劳动保障监察</t>
  </si>
  <si>
    <t>2080106</t>
  </si>
  <si>
    <t xml:space="preserve"> 就业管理事务</t>
  </si>
  <si>
    <t>2080109</t>
  </si>
  <si>
    <t xml:space="preserve"> 社会保险经办机构</t>
  </si>
  <si>
    <t>2080111</t>
  </si>
  <si>
    <t xml:space="preserve"> 公共就业服务和职业技能鉴定机构</t>
  </si>
  <si>
    <t>2080112</t>
  </si>
  <si>
    <t xml:space="preserve"> 劳动人事争议调节仲裁</t>
  </si>
  <si>
    <t>2080199</t>
  </si>
  <si>
    <t xml:space="preserve"> 其他人力资源和社会保障管理事务支出</t>
  </si>
  <si>
    <t>民政管理事务</t>
  </si>
  <si>
    <t>2080201</t>
  </si>
  <si>
    <t xml:space="preserve"> 行政运行（民政管理事务）</t>
  </si>
  <si>
    <t>2080202</t>
  </si>
  <si>
    <t xml:space="preserve"> 一般行政管理事务（民政管理事务）</t>
  </si>
  <si>
    <t xml:space="preserve"> 拥军优属</t>
  </si>
  <si>
    <t>2080205</t>
  </si>
  <si>
    <t xml:space="preserve"> 老龄事务</t>
  </si>
  <si>
    <t xml:space="preserve"> 民间组织管理</t>
  </si>
  <si>
    <t>2080207</t>
  </si>
  <si>
    <t xml:space="preserve"> 行政区划和地名管理</t>
  </si>
  <si>
    <t>2080209</t>
  </si>
  <si>
    <t xml:space="preserve"> 部队供应</t>
  </si>
  <si>
    <t>2080299</t>
  </si>
  <si>
    <t xml:space="preserve"> 其他民政管理事务支出</t>
  </si>
  <si>
    <t>财政对社会保险基金的补助</t>
  </si>
  <si>
    <t>财政对养老保险基金的补助</t>
  </si>
  <si>
    <t>2080303</t>
  </si>
  <si>
    <t>财政对基本医疗保险基金的补助</t>
  </si>
  <si>
    <t>行政事业单位离退休</t>
  </si>
  <si>
    <t>2080503</t>
  </si>
  <si>
    <t xml:space="preserve"> 离退休人员管理机构</t>
  </si>
  <si>
    <t>2080504</t>
  </si>
  <si>
    <t xml:space="preserve"> 未归口管理的行政单位离退休</t>
  </si>
  <si>
    <t xml:space="preserve"> 机关事业单位基本养老保险缴费支出</t>
  </si>
  <si>
    <t xml:space="preserve"> 机关事业单位职业年金缴费支出</t>
  </si>
  <si>
    <t>企业改革补助</t>
  </si>
  <si>
    <t xml:space="preserve"> 其他企业改革发展补助</t>
  </si>
  <si>
    <t>就业补助</t>
  </si>
  <si>
    <t xml:space="preserve"> 职业培训补贴</t>
  </si>
  <si>
    <t xml:space="preserve"> 其他就业补助支出</t>
  </si>
  <si>
    <t>抚恤</t>
  </si>
  <si>
    <t xml:space="preserve"> 死亡抚恤</t>
  </si>
  <si>
    <t>2080804</t>
  </si>
  <si>
    <t xml:space="preserve"> 优抚事业单位支出</t>
  </si>
  <si>
    <t xml:space="preserve"> 其他优抚支出</t>
  </si>
  <si>
    <t>退役安置</t>
  </si>
  <si>
    <t xml:space="preserve"> 退役士兵安置</t>
  </si>
  <si>
    <t xml:space="preserve"> 军队移交离退人员安置</t>
  </si>
  <si>
    <t>2080903</t>
  </si>
  <si>
    <t xml:space="preserve"> 军队移交政府离退休干部管理机构</t>
  </si>
  <si>
    <t xml:space="preserve"> 其他退役安置支出</t>
  </si>
  <si>
    <t>社会福利</t>
  </si>
  <si>
    <t>2081001</t>
  </si>
  <si>
    <t xml:space="preserve"> 儿童福利</t>
  </si>
  <si>
    <t>2081004</t>
  </si>
  <si>
    <t xml:space="preserve"> 殡葬</t>
  </si>
  <si>
    <t>2081005</t>
  </si>
  <si>
    <t xml:space="preserve"> 社会福利事业单位</t>
  </si>
  <si>
    <t xml:space="preserve"> 其他社会福利支出</t>
  </si>
  <si>
    <t>残疾人事业</t>
  </si>
  <si>
    <t>2081101</t>
  </si>
  <si>
    <t xml:space="preserve"> 行政运行（残疾人事业）</t>
  </si>
  <si>
    <t>2081102</t>
  </si>
  <si>
    <t xml:space="preserve"> 一般行政管理事务（残疾人事业）</t>
  </si>
  <si>
    <t xml:space="preserve"> 其他残疾人事业支出</t>
  </si>
  <si>
    <t>自然灾害生活补助</t>
  </si>
  <si>
    <t xml:space="preserve"> 地方自然灾害生活补助</t>
  </si>
  <si>
    <t>红十字事业</t>
  </si>
  <si>
    <t>2081601</t>
  </si>
  <si>
    <t xml:space="preserve"> 行政运行（红十字事业）</t>
  </si>
  <si>
    <t>2081602</t>
  </si>
  <si>
    <t xml:space="preserve"> 一般行政管理事务（红十字事业）</t>
  </si>
  <si>
    <t>临时救助</t>
  </si>
  <si>
    <t>2082001</t>
  </si>
  <si>
    <t xml:space="preserve"> 临时救助支出</t>
  </si>
  <si>
    <t>2082002</t>
  </si>
  <si>
    <t xml:space="preserve"> 流浪乞讨人员救助支出</t>
  </si>
  <si>
    <t>其他社会保障和就业支出</t>
  </si>
  <si>
    <t xml:space="preserve"> 其他社会保障和就业支出</t>
  </si>
  <si>
    <t>医疗卫生与计划生育支出</t>
  </si>
  <si>
    <t>医疗卫生与计划生育管理事务</t>
  </si>
  <si>
    <t>2100101</t>
  </si>
  <si>
    <t xml:space="preserve"> 行政运行（医疗卫生与计划生育管理事务）</t>
  </si>
  <si>
    <t>2100102</t>
  </si>
  <si>
    <t xml:space="preserve"> 一般行政管理事务（医疗卫生与计划生育管理事务）</t>
  </si>
  <si>
    <t>2100199</t>
  </si>
  <si>
    <t xml:space="preserve"> 其他医疗卫生与计划生育管理事务支出</t>
  </si>
  <si>
    <t>公立医院</t>
  </si>
  <si>
    <t>2100201</t>
  </si>
  <si>
    <t xml:space="preserve"> 综合医院</t>
  </si>
  <si>
    <t>2100202</t>
  </si>
  <si>
    <t xml:space="preserve"> 中医（民族）医院</t>
  </si>
  <si>
    <t>2100203</t>
  </si>
  <si>
    <t xml:space="preserve"> 传染病医院</t>
  </si>
  <si>
    <t>2100205</t>
  </si>
  <si>
    <t xml:space="preserve"> 精神病医院</t>
  </si>
  <si>
    <t>2100208</t>
  </si>
  <si>
    <t xml:space="preserve"> 其他专科医院</t>
  </si>
  <si>
    <t>2100299</t>
  </si>
  <si>
    <t xml:space="preserve"> 其他公立医院支出</t>
  </si>
  <si>
    <t>基层医疗卫生机构</t>
  </si>
  <si>
    <t xml:space="preserve"> 城市社区卫生机构</t>
  </si>
  <si>
    <t>2100399</t>
  </si>
  <si>
    <t xml:space="preserve"> 其他医疗基层卫生机构支出</t>
  </si>
  <si>
    <t>公共卫生</t>
  </si>
  <si>
    <t>2100401</t>
  </si>
  <si>
    <t xml:space="preserve"> 疾病预防控制机构</t>
  </si>
  <si>
    <t>2100402</t>
  </si>
  <si>
    <t xml:space="preserve"> 卫生监督机构</t>
  </si>
  <si>
    <t>2100403</t>
  </si>
  <si>
    <t xml:space="preserve"> 妇幼保健机构</t>
  </si>
  <si>
    <t>2100404</t>
  </si>
  <si>
    <t xml:space="preserve"> 精神卫生机构</t>
  </si>
  <si>
    <t>2100405</t>
  </si>
  <si>
    <t xml:space="preserve"> 应急救治机构</t>
  </si>
  <si>
    <t>2100406</t>
  </si>
  <si>
    <t xml:space="preserve"> 采供血机构</t>
  </si>
  <si>
    <t>2100407</t>
  </si>
  <si>
    <t xml:space="preserve"> 其他专业公共卫生机构</t>
  </si>
  <si>
    <t xml:space="preserve"> 基本公共卫生服务</t>
  </si>
  <si>
    <t xml:space="preserve"> 重大公共卫生专项</t>
  </si>
  <si>
    <t xml:space="preserve"> 突发公共卫生事件应急处理</t>
  </si>
  <si>
    <t>医疗保障</t>
  </si>
  <si>
    <t>2100504</t>
  </si>
  <si>
    <t xml:space="preserve"> 优抚对象医疗</t>
  </si>
  <si>
    <t xml:space="preserve"> 新型农村合作医疗</t>
  </si>
  <si>
    <t xml:space="preserve"> 城镇居民基本医疗保险</t>
  </si>
  <si>
    <t xml:space="preserve"> 疾病应急救助</t>
  </si>
  <si>
    <t xml:space="preserve"> 其他医疗保障支出</t>
  </si>
  <si>
    <t>中医药</t>
  </si>
  <si>
    <t xml:space="preserve"> 其他中医药支出</t>
  </si>
  <si>
    <t>计划生育事务</t>
  </si>
  <si>
    <t>2100716</t>
  </si>
  <si>
    <t xml:space="preserve"> 计划生育机构</t>
  </si>
  <si>
    <t>2100717</t>
  </si>
  <si>
    <t xml:space="preserve"> 计划生育服务</t>
  </si>
  <si>
    <t>2100799</t>
  </si>
  <si>
    <t xml:space="preserve"> 其他计划生育事务支出</t>
  </si>
  <si>
    <t>食品和药品监督管理事务</t>
  </si>
  <si>
    <t>2101001</t>
  </si>
  <si>
    <t xml:space="preserve"> 行政运行（食品和药品监督管理事务）</t>
  </si>
  <si>
    <t>2101002</t>
  </si>
  <si>
    <t xml:space="preserve"> 一般行政管理事务（食品和药品监督管理事务）</t>
  </si>
  <si>
    <t>2101050</t>
  </si>
  <si>
    <t xml:space="preserve"> 事业运行（食品和药品监督管理事务）</t>
  </si>
  <si>
    <t>2101099</t>
  </si>
  <si>
    <t xml:space="preserve"> 其他食品和药品监督管理事务支出</t>
  </si>
  <si>
    <t>其他医疗卫生与计划生育支出</t>
  </si>
  <si>
    <t xml:space="preserve"> 其他医疗卫生与计划生育支出</t>
  </si>
  <si>
    <t>节能环保支出</t>
  </si>
  <si>
    <t>环境保护管理事务</t>
  </si>
  <si>
    <t>2110101</t>
  </si>
  <si>
    <t xml:space="preserve"> 行政运行（环境保护管理事务）</t>
  </si>
  <si>
    <t>2110102</t>
  </si>
  <si>
    <t xml:space="preserve"> 一般行政管理事务（环境保护管理事务）</t>
  </si>
  <si>
    <t>2110199</t>
  </si>
  <si>
    <t xml:space="preserve"> 其他环境保护管理事务支出</t>
  </si>
  <si>
    <t>环境监测与监察</t>
  </si>
  <si>
    <t>2110299</t>
  </si>
  <si>
    <t xml:space="preserve"> 其他环境监测与监察支出</t>
  </si>
  <si>
    <t>污染防治</t>
  </si>
  <si>
    <t>2110304</t>
  </si>
  <si>
    <t xml:space="preserve"> 固体废弃物与化学品</t>
  </si>
  <si>
    <t xml:space="preserve"> 排污费安排的支出</t>
  </si>
  <si>
    <t>能源节约利用</t>
  </si>
  <si>
    <t>2111001</t>
  </si>
  <si>
    <t xml:space="preserve"> 能源节约利用</t>
  </si>
  <si>
    <t>其他节能环保支出</t>
  </si>
  <si>
    <t xml:space="preserve"> 其他节能环保支出</t>
  </si>
  <si>
    <t>城乡社区支出</t>
  </si>
  <si>
    <t>城乡社区管理事务</t>
  </si>
  <si>
    <t>2120101</t>
  </si>
  <si>
    <t xml:space="preserve"> 行政运行（城乡社区管理事务）</t>
  </si>
  <si>
    <t>2120102</t>
  </si>
  <si>
    <t xml:space="preserve"> 一般行政管理事务（城乡社区管理事务）</t>
  </si>
  <si>
    <t xml:space="preserve"> 城管执法</t>
  </si>
  <si>
    <t xml:space="preserve"> 其他城乡社区管理事务支出</t>
  </si>
  <si>
    <t>城乡社区规划与管理</t>
  </si>
  <si>
    <t>2120201</t>
  </si>
  <si>
    <t xml:space="preserve"> 城乡社区规划与管理</t>
  </si>
  <si>
    <t>城乡社区公共设施</t>
  </si>
  <si>
    <t>2120399</t>
  </si>
  <si>
    <t xml:space="preserve"> 其他城乡社区公共设施支出</t>
  </si>
  <si>
    <t>城乡社区环境卫生</t>
  </si>
  <si>
    <t>2120501</t>
  </si>
  <si>
    <t xml:space="preserve"> 城乡社区环境卫生</t>
  </si>
  <si>
    <t>建设市场管理与监督</t>
  </si>
  <si>
    <t xml:space="preserve"> 建设市场管理与监督</t>
  </si>
  <si>
    <t>其他城乡社区支出</t>
  </si>
  <si>
    <t xml:space="preserve"> 其他城乡社区支出</t>
  </si>
  <si>
    <t>农林水支出</t>
  </si>
  <si>
    <t>农业</t>
  </si>
  <si>
    <t>2130101</t>
  </si>
  <si>
    <t xml:space="preserve"> 行政运行（农业）</t>
  </si>
  <si>
    <t>2130102</t>
  </si>
  <si>
    <t xml:space="preserve"> 一般行政管理事务（农业）</t>
  </si>
  <si>
    <t>2130104</t>
  </si>
  <si>
    <t xml:space="preserve"> 事业运行（农业）</t>
  </si>
  <si>
    <t>2130106</t>
  </si>
  <si>
    <t xml:space="preserve"> 科技转化与推广服务</t>
  </si>
  <si>
    <t>2130108</t>
  </si>
  <si>
    <t xml:space="preserve"> 病虫害控制</t>
  </si>
  <si>
    <t>2130109</t>
  </si>
  <si>
    <t xml:space="preserve"> 农产品质量安全</t>
  </si>
  <si>
    <t>2130110</t>
  </si>
  <si>
    <t xml:space="preserve"> 执法监管</t>
  </si>
  <si>
    <t>2130111</t>
  </si>
  <si>
    <t xml:space="preserve"> 统计监测与信息服务</t>
  </si>
  <si>
    <t>2130112</t>
  </si>
  <si>
    <t xml:space="preserve"> 农业行业业务管理</t>
  </si>
  <si>
    <t>2130124</t>
  </si>
  <si>
    <t xml:space="preserve"> 农业组织化与产业化经营</t>
  </si>
  <si>
    <t xml:space="preserve"> 农村道路建设</t>
  </si>
  <si>
    <t>2130199</t>
  </si>
  <si>
    <t xml:space="preserve"> 其他农业支出</t>
  </si>
  <si>
    <t>林业</t>
  </si>
  <si>
    <t>2130201</t>
  </si>
  <si>
    <t xml:space="preserve"> 行政运行（林业）</t>
  </si>
  <si>
    <t>2130202</t>
  </si>
  <si>
    <t xml:space="preserve"> 一般行政管理事务（林业）</t>
  </si>
  <si>
    <t>2130204</t>
  </si>
  <si>
    <t xml:space="preserve"> 林业事业机构</t>
  </si>
  <si>
    <t xml:space="preserve"> 森林资源管理</t>
  </si>
  <si>
    <t>2130211</t>
  </si>
  <si>
    <t xml:space="preserve"> 动植物保护</t>
  </si>
  <si>
    <t>2130216</t>
  </si>
  <si>
    <t xml:space="preserve"> 林业检疫检测</t>
  </si>
  <si>
    <t>2130234</t>
  </si>
  <si>
    <t xml:space="preserve"> 林业防灾减灾</t>
  </si>
  <si>
    <t>2130299</t>
  </si>
  <si>
    <t xml:space="preserve"> 其他林业支出</t>
  </si>
  <si>
    <t>水利</t>
  </si>
  <si>
    <t>2130301</t>
  </si>
  <si>
    <t xml:space="preserve"> 行政运行（水利）</t>
  </si>
  <si>
    <t>2130302</t>
  </si>
  <si>
    <t xml:space="preserve"> 一般行政管理事务（水利）</t>
  </si>
  <si>
    <t>2130306</t>
  </si>
  <si>
    <t xml:space="preserve"> 水利工程运行与维护</t>
  </si>
  <si>
    <t>2130308</t>
  </si>
  <si>
    <t xml:space="preserve"> 水利前期工作</t>
  </si>
  <si>
    <t>2130309</t>
  </si>
  <si>
    <t xml:space="preserve"> 水利执法监督</t>
  </si>
  <si>
    <t>2130310</t>
  </si>
  <si>
    <t xml:space="preserve"> 水土保持（水利）</t>
  </si>
  <si>
    <t>2130311</t>
  </si>
  <si>
    <t xml:space="preserve"> 水资源节约管理与保护</t>
  </si>
  <si>
    <t>2130313</t>
  </si>
  <si>
    <t xml:space="preserve"> 水文测报</t>
  </si>
  <si>
    <t xml:space="preserve"> 农田水利</t>
  </si>
  <si>
    <t xml:space="preserve"> 大中型水库移民后期扶持专项支出</t>
  </si>
  <si>
    <t xml:space="preserve"> 砂石资源费支出</t>
  </si>
  <si>
    <t>2130333</t>
  </si>
  <si>
    <t xml:space="preserve"> 信息管理（水利）</t>
  </si>
  <si>
    <t xml:space="preserve"> 其他水利支出</t>
  </si>
  <si>
    <t>农业综合开发</t>
  </si>
  <si>
    <t>2130601</t>
  </si>
  <si>
    <t xml:space="preserve"> 机构运行（农业综合开发）</t>
  </si>
  <si>
    <t>2130699</t>
  </si>
  <si>
    <t xml:space="preserve"> 其他农业综合开发支出</t>
  </si>
  <si>
    <t>其他农林水支出</t>
  </si>
  <si>
    <t xml:space="preserve"> 其他农林水支出</t>
  </si>
  <si>
    <t>交通运输支出</t>
  </si>
  <si>
    <t>公路水路运输</t>
  </si>
  <si>
    <t>2140101</t>
  </si>
  <si>
    <t xml:space="preserve"> 行政运行（公路水路运输）</t>
  </si>
  <si>
    <t>2140102</t>
  </si>
  <si>
    <t xml:space="preserve"> 一般行政管理事务（公路水路运输）</t>
  </si>
  <si>
    <t>2140112</t>
  </si>
  <si>
    <t xml:space="preserve"> 公路运输管理</t>
  </si>
  <si>
    <t>2140199</t>
  </si>
  <si>
    <t xml:space="preserve"> 其他公路水路运输支出</t>
  </si>
  <si>
    <t>邮政业支出</t>
  </si>
  <si>
    <t xml:space="preserve"> 邮政普遍服务与特殊服务</t>
  </si>
  <si>
    <t>其他交通运输支出</t>
  </si>
  <si>
    <t xml:space="preserve"> 其他交通运输支出</t>
  </si>
  <si>
    <t>出租车管理专项</t>
  </si>
  <si>
    <t>资源勘探信息等支出</t>
  </si>
  <si>
    <t>制造业</t>
  </si>
  <si>
    <t>2150299</t>
  </si>
  <si>
    <t xml:space="preserve"> 其他制造业支出</t>
  </si>
  <si>
    <t>建筑业</t>
  </si>
  <si>
    <t>2150399</t>
  </si>
  <si>
    <t xml:space="preserve"> 其他建筑业支出</t>
  </si>
  <si>
    <t>工业和信息产业监管</t>
  </si>
  <si>
    <t>2150599</t>
  </si>
  <si>
    <t xml:space="preserve"> 其他工业和信息产业监管支出</t>
  </si>
  <si>
    <t>安全生产监管</t>
  </si>
  <si>
    <t>2150601</t>
  </si>
  <si>
    <t xml:space="preserve"> 行政运行（安全生产监管）</t>
  </si>
  <si>
    <t>2150602</t>
  </si>
  <si>
    <t xml:space="preserve"> 一般行政管理事务（安全生产监管）</t>
  </si>
  <si>
    <t xml:space="preserve"> 安全监管监察专项</t>
  </si>
  <si>
    <t>2150606</t>
  </si>
  <si>
    <t xml:space="preserve"> 应急救援支出</t>
  </si>
  <si>
    <t>2150699</t>
  </si>
  <si>
    <t xml:space="preserve"> 其他安全生产监管支出</t>
  </si>
  <si>
    <t>国有资产监管</t>
  </si>
  <si>
    <t>2150701</t>
  </si>
  <si>
    <t xml:space="preserve"> 行政运行（国有资产监管）</t>
  </si>
  <si>
    <t>支持中小企业发展和管理支出</t>
  </si>
  <si>
    <t xml:space="preserve"> 中小企业发展专项</t>
  </si>
  <si>
    <t xml:space="preserve"> 其他支持中小企业发展和管理支出</t>
  </si>
  <si>
    <t>其他资源勘探信息等支出</t>
  </si>
  <si>
    <t xml:space="preserve"> 其他资源勘探信息等支出</t>
  </si>
  <si>
    <t>商业服务业等支出</t>
  </si>
  <si>
    <t>商业流通事务</t>
  </si>
  <si>
    <t>2160201</t>
  </si>
  <si>
    <t xml:space="preserve"> 行政运行（商业流通事务）</t>
  </si>
  <si>
    <t>2160299</t>
  </si>
  <si>
    <t xml:space="preserve"> 其他商业流通事务支出</t>
  </si>
  <si>
    <t>旅游业管理与服务支出</t>
  </si>
  <si>
    <t>2160501</t>
  </si>
  <si>
    <t xml:space="preserve"> 行政运行（旅游业管理与服务支出）</t>
  </si>
  <si>
    <t>2160502</t>
  </si>
  <si>
    <t xml:space="preserve"> 一般行政管理事务（旅游业管理与服务支出）</t>
  </si>
  <si>
    <t>2160599</t>
  </si>
  <si>
    <t xml:space="preserve"> 其他旅游业管理与服务支出</t>
  </si>
  <si>
    <t>涉外发展服务支出</t>
  </si>
  <si>
    <t>2160601</t>
  </si>
  <si>
    <t xml:space="preserve"> 行政运行（涉外发展服务支出）</t>
  </si>
  <si>
    <t>2160602</t>
  </si>
  <si>
    <t xml:space="preserve"> 一般行政管理事务（涉外发展服务支出）</t>
  </si>
  <si>
    <t xml:space="preserve"> 其他涉外发展服务支出</t>
  </si>
  <si>
    <t>其他商业服务业等支出</t>
  </si>
  <si>
    <t xml:space="preserve"> 其他商业服务业等支出</t>
  </si>
  <si>
    <t>金融支出</t>
  </si>
  <si>
    <t>金融发展支出</t>
  </si>
  <si>
    <t xml:space="preserve"> 其他金融发展支出</t>
  </si>
  <si>
    <t>其他金融支出</t>
  </si>
  <si>
    <t xml:space="preserve"> 其他金融支出</t>
  </si>
  <si>
    <t>国土海洋气象等支出</t>
  </si>
  <si>
    <t>国土资源事务</t>
  </si>
  <si>
    <t>2200101</t>
  </si>
  <si>
    <t xml:space="preserve"> 行政运行（国土资源事务）</t>
  </si>
  <si>
    <t>2200102</t>
  </si>
  <si>
    <t xml:space="preserve"> 一般行政管理事务（国土资源事务）</t>
  </si>
  <si>
    <t>2200150</t>
  </si>
  <si>
    <t xml:space="preserve"> 事业运行（国土资源事务）</t>
  </si>
  <si>
    <t>2200199</t>
  </si>
  <si>
    <t xml:space="preserve"> 其他国土资源事务支出</t>
  </si>
  <si>
    <t>地震事务</t>
  </si>
  <si>
    <t>2200401</t>
  </si>
  <si>
    <t xml:space="preserve"> 行政运行（地震事务）</t>
  </si>
  <si>
    <t>2200404</t>
  </si>
  <si>
    <t xml:space="preserve"> 地震监测</t>
  </si>
  <si>
    <t>2200499</t>
  </si>
  <si>
    <t xml:space="preserve"> 其他地震事务支出</t>
  </si>
  <si>
    <t>气象事务</t>
  </si>
  <si>
    <t>2200504</t>
  </si>
  <si>
    <t xml:space="preserve"> 气象事业机构</t>
  </si>
  <si>
    <t>2200599</t>
  </si>
  <si>
    <t xml:space="preserve"> 其他气象事务支出</t>
  </si>
  <si>
    <t>其他国土海洋气象等支出</t>
  </si>
  <si>
    <t xml:space="preserve"> 其他国土海洋气象等支出</t>
  </si>
  <si>
    <t>住房保障支出</t>
  </si>
  <si>
    <t>保障性安居工程支出</t>
  </si>
  <si>
    <t>2210103</t>
  </si>
  <si>
    <t xml:space="preserve"> 棚户区改造支出</t>
  </si>
  <si>
    <t xml:space="preserve"> 公共租赁住房支出</t>
  </si>
  <si>
    <t>住房改革支出</t>
  </si>
  <si>
    <t xml:space="preserve"> 住房公积金</t>
  </si>
  <si>
    <t xml:space="preserve"> 购房补贴</t>
  </si>
  <si>
    <t>城乡社区住宅</t>
  </si>
  <si>
    <t>2210399</t>
  </si>
  <si>
    <t xml:space="preserve"> 其他城乡社区住宅支出</t>
  </si>
  <si>
    <t>粮油物资储备支出</t>
  </si>
  <si>
    <t>粮油事务</t>
  </si>
  <si>
    <t>2220101</t>
  </si>
  <si>
    <t xml:space="preserve"> 行政运行（粮油事务）</t>
  </si>
  <si>
    <t>2220102</t>
  </si>
  <si>
    <t xml:space="preserve"> 一般行政管理事务（粮油事务）</t>
  </si>
  <si>
    <t>2220199</t>
  </si>
  <si>
    <t xml:space="preserve"> 其他粮油事务支出</t>
  </si>
  <si>
    <t>预备费</t>
  </si>
  <si>
    <t>其他支出</t>
  </si>
  <si>
    <t>年初预留</t>
  </si>
  <si>
    <t xml:space="preserve"> 其他支出</t>
  </si>
  <si>
    <t>表4-3</t>
  </si>
  <si>
    <t>2017年经开区、高新区和红谷滩新区地方一般公共预算收入草案表</t>
  </si>
  <si>
    <t>桑海区</t>
  </si>
  <si>
    <t>临空区</t>
  </si>
  <si>
    <t>同口径增幅%</t>
  </si>
  <si>
    <r>
      <t>201</t>
    </r>
    <r>
      <rPr>
        <sz val="9"/>
        <rFont val="宋体"/>
        <family val="0"/>
      </rPr>
      <t>6年
预算数</t>
    </r>
  </si>
  <si>
    <r>
      <t>201</t>
    </r>
    <r>
      <rPr>
        <sz val="9"/>
        <rFont val="宋体"/>
        <family val="0"/>
      </rPr>
      <t>5年
执行数</t>
    </r>
  </si>
  <si>
    <r>
      <t>201</t>
    </r>
    <r>
      <rPr>
        <sz val="9"/>
        <rFont val="宋体"/>
        <family val="0"/>
      </rPr>
      <t>6年比
2015年±%</t>
    </r>
  </si>
  <si>
    <t xml:space="preserve">      增值税</t>
  </si>
  <si>
    <t xml:space="preserve">      营业税</t>
  </si>
  <si>
    <t xml:space="preserve">      企业所得税</t>
  </si>
  <si>
    <t xml:space="preserve">      个人所得税</t>
  </si>
  <si>
    <t xml:space="preserve">      资源税</t>
  </si>
  <si>
    <t xml:space="preserve">      城市维护建设税</t>
  </si>
  <si>
    <t xml:space="preserve">      房产税</t>
  </si>
  <si>
    <t xml:space="preserve">      印花税</t>
  </si>
  <si>
    <t xml:space="preserve">      城镇土地使用税</t>
  </si>
  <si>
    <t xml:space="preserve">      土地增值税</t>
  </si>
  <si>
    <t xml:space="preserve">      车船使用和牌照税</t>
  </si>
  <si>
    <t xml:space="preserve">      契税</t>
  </si>
  <si>
    <t xml:space="preserve">      其他税收收入</t>
  </si>
  <si>
    <t xml:space="preserve">      专项收入</t>
  </si>
  <si>
    <t xml:space="preserve">      行政事业性收费收入</t>
  </si>
  <si>
    <t xml:space="preserve">      罚没收入</t>
  </si>
  <si>
    <t xml:space="preserve">      国有资本经营收入</t>
  </si>
  <si>
    <t xml:space="preserve">      国有资源（资产）有偿使用收入</t>
  </si>
  <si>
    <t xml:space="preserve">      其他收入</t>
  </si>
  <si>
    <t>表4-4</t>
  </si>
  <si>
    <t>2017年经开区、高新区和红谷滩新区地方一般公共预算支出草案表</t>
  </si>
  <si>
    <t>桑海区（原）</t>
  </si>
  <si>
    <t>经开区(原)</t>
  </si>
  <si>
    <r>
      <t>201</t>
    </r>
    <r>
      <rPr>
        <sz val="9"/>
        <rFont val="宋体"/>
        <family val="0"/>
      </rPr>
      <t>6</t>
    </r>
    <r>
      <rPr>
        <sz val="9"/>
        <rFont val="宋体"/>
        <family val="0"/>
      </rPr>
      <t>年
预算数</t>
    </r>
  </si>
  <si>
    <r>
      <t>201</t>
    </r>
    <r>
      <rPr>
        <sz val="9"/>
        <rFont val="宋体"/>
        <family val="0"/>
      </rPr>
      <t>5</t>
    </r>
    <r>
      <rPr>
        <sz val="9"/>
        <rFont val="宋体"/>
        <family val="0"/>
      </rPr>
      <t>年
预算数</t>
    </r>
  </si>
  <si>
    <r>
      <t>201</t>
    </r>
    <r>
      <rPr>
        <sz val="9"/>
        <rFont val="宋体"/>
        <family val="0"/>
      </rPr>
      <t>6</t>
    </r>
    <r>
      <rPr>
        <sz val="9"/>
        <rFont val="宋体"/>
        <family val="0"/>
      </rPr>
      <t>年比
201</t>
    </r>
    <r>
      <rPr>
        <sz val="9"/>
        <rFont val="宋体"/>
        <family val="0"/>
      </rPr>
      <t>5</t>
    </r>
    <r>
      <rPr>
        <sz val="9"/>
        <rFont val="宋体"/>
        <family val="0"/>
      </rPr>
      <t>年±%</t>
    </r>
  </si>
  <si>
    <t xml:space="preserve">    人大事务</t>
  </si>
  <si>
    <t xml:space="preserve">      一般行政管理事务</t>
  </si>
  <si>
    <t xml:space="preserve">      其他人大事务支出</t>
  </si>
  <si>
    <t xml:space="preserve">    政协事务</t>
  </si>
  <si>
    <t xml:space="preserve">    政府办公厅(室)及相关机构事务</t>
  </si>
  <si>
    <t xml:space="preserve">      行政运行</t>
  </si>
  <si>
    <t xml:space="preserve">      机关服务</t>
  </si>
  <si>
    <t xml:space="preserve">      信访事务</t>
  </si>
  <si>
    <t xml:space="preserve">      其他政府办公厅（室）及相关机构事务支出</t>
  </si>
  <si>
    <t xml:space="preserve">    发展与改革事务</t>
  </si>
  <si>
    <t xml:space="preserve">      战略规划与实施</t>
  </si>
  <si>
    <t xml:space="preserve">      物价管理</t>
  </si>
  <si>
    <t xml:space="preserve">      其他发展与改革事务支出</t>
  </si>
  <si>
    <t xml:space="preserve">    统计信息事务</t>
  </si>
  <si>
    <t xml:space="preserve">      专项统计业务</t>
  </si>
  <si>
    <t xml:space="preserve">      统计管理</t>
  </si>
  <si>
    <t xml:space="preserve">      专项普查活动</t>
  </si>
  <si>
    <t xml:space="preserve">      其他统计信息事务支出</t>
  </si>
  <si>
    <t xml:space="preserve">    财政事务</t>
  </si>
  <si>
    <t xml:space="preserve">      财政国库业务</t>
  </si>
  <si>
    <t xml:space="preserve">      信息化建设</t>
  </si>
  <si>
    <t xml:space="preserve">      财政委托业务支出</t>
  </si>
  <si>
    <t xml:space="preserve">      事业运行</t>
  </si>
  <si>
    <t xml:space="preserve">      其他财政事务支出</t>
  </si>
  <si>
    <t xml:space="preserve">    税收事务</t>
  </si>
  <si>
    <t xml:space="preserve">      代扣代收代征税款手续费</t>
  </si>
  <si>
    <t xml:space="preserve">      协税护税</t>
  </si>
  <si>
    <t xml:space="preserve">      其他税收事务支出</t>
  </si>
  <si>
    <t xml:space="preserve">    审计事务</t>
  </si>
  <si>
    <t xml:space="preserve">      审计业务</t>
  </si>
  <si>
    <t xml:space="preserve">      其他审计事务支出</t>
  </si>
  <si>
    <t xml:space="preserve">    海关事务</t>
  </si>
  <si>
    <t xml:space="preserve">      其他海关事务支出</t>
  </si>
  <si>
    <t xml:space="preserve">    人力资源事务</t>
  </si>
  <si>
    <t xml:space="preserve">      军队转业干部安置</t>
  </si>
  <si>
    <t xml:space="preserve">      博士后日常经费</t>
  </si>
  <si>
    <t xml:space="preserve">      引进人才费用</t>
  </si>
  <si>
    <t xml:space="preserve">      公务员履职能力提升</t>
  </si>
  <si>
    <t xml:space="preserve">      其他人事事务支出</t>
  </si>
  <si>
    <t xml:space="preserve">    纪检监察事务</t>
  </si>
  <si>
    <t xml:space="preserve">      大案要案查处</t>
  </si>
  <si>
    <t xml:space="preserve">      其他纪检监察事务支出</t>
  </si>
  <si>
    <t xml:space="preserve">    商贸事务</t>
  </si>
  <si>
    <t xml:space="preserve">      对外贸易管理</t>
  </si>
  <si>
    <t xml:space="preserve">      招商引资</t>
  </si>
  <si>
    <t xml:space="preserve">      其他商贸事务支出</t>
  </si>
  <si>
    <t xml:space="preserve">    知识产权事务</t>
  </si>
  <si>
    <t xml:space="preserve">      专利试点和产业化推进</t>
  </si>
  <si>
    <t xml:space="preserve">    工商行政管理事务</t>
  </si>
  <si>
    <t xml:space="preserve">      工商行政管理专项</t>
  </si>
  <si>
    <t xml:space="preserve">      执法办案专项</t>
  </si>
  <si>
    <t xml:space="preserve">      消费者权益保护</t>
  </si>
  <si>
    <t xml:space="preserve">      其他工商行政管理事务支出</t>
  </si>
  <si>
    <t xml:space="preserve">    质量技术监督与检验检疫事务</t>
  </si>
  <si>
    <t xml:space="preserve">      出入境检验检疫行政执法和业务管理</t>
  </si>
  <si>
    <t xml:space="preserve">      质量技术监督行政执法及业务管理</t>
  </si>
  <si>
    <t xml:space="preserve">      其他质量技术监督与检验检疫事务支出</t>
  </si>
  <si>
    <t xml:space="preserve">    宗教事务</t>
  </si>
  <si>
    <t xml:space="preserve">      其他宗教事务支出</t>
  </si>
  <si>
    <t xml:space="preserve">    档案事务</t>
  </si>
  <si>
    <t xml:space="preserve">      其他档案事务支出</t>
  </si>
  <si>
    <t xml:space="preserve">    民主党派及工商联事务</t>
  </si>
  <si>
    <t xml:space="preserve">    群众团体事务</t>
  </si>
  <si>
    <t xml:space="preserve">      其他群众团体事务支出</t>
  </si>
  <si>
    <t xml:space="preserve">    党委办公厅（室）及相关机构事务</t>
  </si>
  <si>
    <t xml:space="preserve">      其他党委办公厅（室）及相关机构事务支出</t>
  </si>
  <si>
    <t xml:space="preserve">    组织事务</t>
  </si>
  <si>
    <t xml:space="preserve">      其他组织事务支出</t>
  </si>
  <si>
    <t xml:space="preserve">    宣传事务</t>
  </si>
  <si>
    <t xml:space="preserve">      其他宣传事务支出</t>
  </si>
  <si>
    <t xml:space="preserve">    其他共产党事务支出</t>
  </si>
  <si>
    <t xml:space="preserve">      其他共产党事务支出</t>
  </si>
  <si>
    <t xml:space="preserve">    其他一般公共服务支出</t>
  </si>
  <si>
    <t xml:space="preserve">      其他一般公共服务支出</t>
  </si>
  <si>
    <t>二、外交支出</t>
  </si>
  <si>
    <t>三、国防支出</t>
  </si>
  <si>
    <t xml:space="preserve">    国防动员</t>
  </si>
  <si>
    <t xml:space="preserve">      兵役征集</t>
  </si>
  <si>
    <t xml:space="preserve">      人民防空</t>
  </si>
  <si>
    <r>
      <t xml:space="preserve">    </t>
    </r>
    <r>
      <rPr>
        <sz val="11"/>
        <rFont val="宋体"/>
        <family val="0"/>
      </rPr>
      <t xml:space="preserve">  </t>
    </r>
    <r>
      <rPr>
        <sz val="11"/>
        <rFont val="宋体"/>
        <family val="0"/>
      </rPr>
      <t>民兵</t>
    </r>
  </si>
  <si>
    <t xml:space="preserve">    其他国防支出</t>
  </si>
  <si>
    <t>四、公共安全支出</t>
  </si>
  <si>
    <t xml:space="preserve">    武装警察</t>
  </si>
  <si>
    <t xml:space="preserve">      消防</t>
  </si>
  <si>
    <t xml:space="preserve">    公安</t>
  </si>
  <si>
    <t xml:space="preserve">      治安管理</t>
  </si>
  <si>
    <t xml:space="preserve">      道路交通管理</t>
  </si>
  <si>
    <t xml:space="preserve">      网络侦控管理</t>
  </si>
  <si>
    <t xml:space="preserve">      反恐怖</t>
  </si>
  <si>
    <t xml:space="preserve">      其他公安支出</t>
  </si>
  <si>
    <t xml:space="preserve">    检察</t>
  </si>
  <si>
    <t xml:space="preserve">      查办和预防职务犯罪</t>
  </si>
  <si>
    <t xml:space="preserve">      “两房”建设</t>
  </si>
  <si>
    <t xml:space="preserve">      其他检察支出</t>
  </si>
  <si>
    <t xml:space="preserve">    法院</t>
  </si>
  <si>
    <t xml:space="preserve">      案件审判</t>
  </si>
  <si>
    <t xml:space="preserve">      “两庭”建设</t>
  </si>
  <si>
    <t xml:space="preserve">      其他法院支出</t>
  </si>
  <si>
    <t xml:space="preserve">    司法</t>
  </si>
  <si>
    <t xml:space="preserve">      基层司法业务</t>
  </si>
  <si>
    <t xml:space="preserve">      普法宣传</t>
  </si>
  <si>
    <t xml:space="preserve">      法律援助</t>
  </si>
  <si>
    <t xml:space="preserve">      其他司法支出</t>
  </si>
  <si>
    <t xml:space="preserve">    其他公共安全支出</t>
  </si>
  <si>
    <t>五、教育支出</t>
  </si>
  <si>
    <t xml:space="preserve">    教育管理事务</t>
  </si>
  <si>
    <t xml:space="preserve">      其他教育管理事务支出</t>
  </si>
  <si>
    <t xml:space="preserve">    普通教育</t>
  </si>
  <si>
    <t xml:space="preserve">      学前教育</t>
  </si>
  <si>
    <t xml:space="preserve">      小学教育</t>
  </si>
  <si>
    <t xml:space="preserve">      初中教育</t>
  </si>
  <si>
    <t xml:space="preserve">      其他普通教育支出</t>
  </si>
  <si>
    <t xml:space="preserve">    教育费附加安排的支出</t>
  </si>
  <si>
    <t xml:space="preserve">      农村中小学校舍建设</t>
  </si>
  <si>
    <t xml:space="preserve">      农村中小学教学设施</t>
  </si>
  <si>
    <t xml:space="preserve">      城市中小学校舍建设</t>
  </si>
  <si>
    <t xml:space="preserve">      其他教育费附加安排的支出</t>
  </si>
  <si>
    <t xml:space="preserve">    其他教育支出</t>
  </si>
  <si>
    <t>六、科学技术支出</t>
  </si>
  <si>
    <t xml:space="preserve">    科学技术管理事务</t>
  </si>
  <si>
    <t xml:space="preserve">      其他科学技术管理事务支出</t>
  </si>
  <si>
    <t xml:space="preserve">    应用研究</t>
  </si>
  <si>
    <t xml:space="preserve">      其他应用研究支出</t>
  </si>
  <si>
    <t xml:space="preserve">    技术研究与开发</t>
  </si>
  <si>
    <t xml:space="preserve">      应用技术研究与开发</t>
  </si>
  <si>
    <t xml:space="preserve">      产业技术研究与开发</t>
  </si>
  <si>
    <t xml:space="preserve">      其他技术研究与开发支出</t>
  </si>
  <si>
    <t xml:space="preserve">    科学技术普及</t>
  </si>
  <si>
    <t xml:space="preserve">      机构运行</t>
  </si>
  <si>
    <t xml:space="preserve">      科普活动</t>
  </si>
  <si>
    <t xml:space="preserve">      其他科学技术普及支出</t>
  </si>
  <si>
    <t xml:space="preserve">    科技重大专项</t>
  </si>
  <si>
    <t xml:space="preserve">    其他科学技术支出</t>
  </si>
  <si>
    <t xml:space="preserve">      科技奖励</t>
  </si>
  <si>
    <t xml:space="preserve">      其他科学技术支出</t>
  </si>
  <si>
    <t>七、文化体育与传媒支出</t>
  </si>
  <si>
    <t xml:space="preserve">    文化</t>
  </si>
  <si>
    <t xml:space="preserve">      群众文化</t>
  </si>
  <si>
    <t xml:space="preserve">      其他文化支出</t>
  </si>
  <si>
    <t xml:space="preserve">    文物</t>
  </si>
  <si>
    <t xml:space="preserve">      文物保护</t>
  </si>
  <si>
    <t xml:space="preserve">    体育</t>
  </si>
  <si>
    <t xml:space="preserve">      体育竞赛</t>
  </si>
  <si>
    <t xml:space="preserve">      群众体育</t>
  </si>
  <si>
    <t xml:space="preserve">      其他体育支出</t>
  </si>
  <si>
    <t xml:space="preserve">    广播影视</t>
  </si>
  <si>
    <t xml:space="preserve">      其他广播影视支出</t>
  </si>
  <si>
    <t xml:space="preserve">    新闻出版</t>
  </si>
  <si>
    <t xml:space="preserve">      其他新闻出版支出</t>
  </si>
  <si>
    <t xml:space="preserve">    其他文化体育与传媒支出</t>
  </si>
  <si>
    <t xml:space="preserve">      其他文化体育与传媒支出</t>
  </si>
  <si>
    <t xml:space="preserve">    人力资源和社会保障管理事务</t>
  </si>
  <si>
    <t xml:space="preserve">      劳动保障监察</t>
  </si>
  <si>
    <t xml:space="preserve">      就业管理事务</t>
  </si>
  <si>
    <t xml:space="preserve">      社会保险业务管理事务</t>
  </si>
  <si>
    <t xml:space="preserve">      其他人力资源和社会保障管理事务支出</t>
  </si>
  <si>
    <t xml:space="preserve">    民政管理事务</t>
  </si>
  <si>
    <t xml:space="preserve">      拥军优属</t>
  </si>
  <si>
    <t xml:space="preserve">      老龄事务</t>
  </si>
  <si>
    <t xml:space="preserve">      行政区划和地名管理</t>
  </si>
  <si>
    <t xml:space="preserve">      基层政权和社区建设</t>
  </si>
  <si>
    <t xml:space="preserve">      其他民政管理事务支出</t>
  </si>
  <si>
    <t xml:space="preserve">    财政对社会保险基金的补助</t>
  </si>
  <si>
    <t xml:space="preserve">      财政对基本养老保险基金的补助</t>
  </si>
  <si>
    <t xml:space="preserve">      财政对基本医疗保险基金的补助</t>
  </si>
  <si>
    <t xml:space="preserve">      财政对工伤保险基金的补助</t>
  </si>
  <si>
    <t xml:space="preserve">      财政对城乡居民基本养老保险基金的补助</t>
  </si>
  <si>
    <t xml:space="preserve">      财政对其他社会保险基金的补助</t>
  </si>
  <si>
    <t xml:space="preserve">    行政事业单位离退休</t>
  </si>
  <si>
    <t xml:space="preserve">      归口管理的行政单位离退休</t>
  </si>
  <si>
    <t xml:space="preserve">      事业单位离退休</t>
  </si>
  <si>
    <t xml:space="preserve">      机关事业单位基本养老保险缴费支出</t>
  </si>
  <si>
    <t xml:space="preserve">      机关事业单位职业年金缴费支出</t>
  </si>
  <si>
    <t xml:space="preserve">      其他行政事业单位离退休支出</t>
  </si>
  <si>
    <t xml:space="preserve">    企业改革补助</t>
  </si>
  <si>
    <t xml:space="preserve">      企业关闭破产补助</t>
  </si>
  <si>
    <t xml:space="preserve">      其他企业改革发展补助</t>
  </si>
  <si>
    <t xml:space="preserve">    就业补助</t>
  </si>
  <si>
    <t xml:space="preserve">      就业创业服务补贴</t>
  </si>
  <si>
    <t xml:space="preserve">      小额担保贷款贴息</t>
  </si>
  <si>
    <t xml:space="preserve">      特定就业政策支出</t>
  </si>
  <si>
    <t xml:space="preserve">      其他就业补助支出</t>
  </si>
  <si>
    <t xml:space="preserve">    抚恤</t>
  </si>
  <si>
    <t xml:space="preserve">      死亡抚恤</t>
  </si>
  <si>
    <t xml:space="preserve">      在乡复员、退伍军人生活补助</t>
  </si>
  <si>
    <t xml:space="preserve">      义务兵优待</t>
  </si>
  <si>
    <t xml:space="preserve">      农村籍退役士兵老年生活补助</t>
  </si>
  <si>
    <t xml:space="preserve">      其他优抚支出</t>
  </si>
  <si>
    <t xml:space="preserve">    退役安置</t>
  </si>
  <si>
    <t xml:space="preserve">      退役士兵安置</t>
  </si>
  <si>
    <t xml:space="preserve">      军队移交政府的离退休人员安置</t>
  </si>
  <si>
    <t xml:space="preserve">      其他退役安置支出</t>
  </si>
  <si>
    <t xml:space="preserve">    社会福利</t>
  </si>
  <si>
    <t xml:space="preserve">      儿童福利</t>
  </si>
  <si>
    <t xml:space="preserve">      老年福利</t>
  </si>
  <si>
    <t xml:space="preserve">      殡葬</t>
  </si>
  <si>
    <t xml:space="preserve">      社会福利事业单位</t>
  </si>
  <si>
    <t xml:space="preserve">      其他社会福利支出</t>
  </si>
  <si>
    <t xml:space="preserve">    残疾人事业</t>
  </si>
  <si>
    <t xml:space="preserve">      残疾人康复</t>
  </si>
  <si>
    <t xml:space="preserve">      残疾人就业和扶贫</t>
  </si>
  <si>
    <t xml:space="preserve">      其他残疾人事业支出</t>
  </si>
  <si>
    <t xml:space="preserve">    自然灾害生活救助</t>
  </si>
  <si>
    <t xml:space="preserve">      地方自然灾害生活补助</t>
  </si>
  <si>
    <t xml:space="preserve">      其他自然灾害生活救助支出</t>
  </si>
  <si>
    <t xml:space="preserve">    红十字事业</t>
  </si>
  <si>
    <t xml:space="preserve">      其他红十字事业支出</t>
  </si>
  <si>
    <t xml:space="preserve">    最低生活保障</t>
  </si>
  <si>
    <t xml:space="preserve">      城市最低生活保障金支出</t>
  </si>
  <si>
    <t xml:space="preserve">      农村最低生活保障金支出</t>
  </si>
  <si>
    <t xml:space="preserve">    临时救助</t>
  </si>
  <si>
    <t xml:space="preserve">      临时救助支出</t>
  </si>
  <si>
    <t xml:space="preserve">    特困人员供养</t>
  </si>
  <si>
    <t xml:space="preserve">      农村五保供养支出</t>
  </si>
  <si>
    <t xml:space="preserve">    其他生活救助</t>
  </si>
  <si>
    <t xml:space="preserve">      其他城市生活救助</t>
  </si>
  <si>
    <t xml:space="preserve">      其他农村生活救助</t>
  </si>
  <si>
    <t xml:space="preserve">    财政对基本养老保险基金的补助</t>
  </si>
  <si>
    <t xml:space="preserve">      财政对企业职工基本养老保险基金的补助</t>
  </si>
  <si>
    <t xml:space="preserve">    财政对其他社会保险基金的补助</t>
  </si>
  <si>
    <t xml:space="preserve">      财政对失业保险基金的补助</t>
  </si>
  <si>
    <t xml:space="preserve">      财政对生育保险基金的补助</t>
  </si>
  <si>
    <t xml:space="preserve">    其他社会保障和就业支出</t>
  </si>
  <si>
    <t xml:space="preserve">      其他社会保障和就业支出</t>
  </si>
  <si>
    <t>九、医疗卫生与计划生育支出</t>
  </si>
  <si>
    <t xml:space="preserve">    医疗卫生管理事务</t>
  </si>
  <si>
    <t xml:space="preserve">      其他医疗卫生与计划生育管理事务支出</t>
  </si>
  <si>
    <t xml:space="preserve">    基层医疗卫生机构</t>
  </si>
  <si>
    <t xml:space="preserve">      城市社区卫生机构</t>
  </si>
  <si>
    <t xml:space="preserve">      乡镇卫生院</t>
  </si>
  <si>
    <t xml:space="preserve">      其他基层医疗卫生机构支出</t>
  </si>
  <si>
    <t xml:space="preserve">    公共卫生</t>
  </si>
  <si>
    <t xml:space="preserve">      疾病预防控制机构</t>
  </si>
  <si>
    <t xml:space="preserve">      卫生监督机构</t>
  </si>
  <si>
    <t xml:space="preserve">      妇幼保健机构</t>
  </si>
  <si>
    <t xml:space="preserve">      基本公共卫生服务</t>
  </si>
  <si>
    <t xml:space="preserve">      重大公共卫生专项</t>
  </si>
  <si>
    <t xml:space="preserve">      突发公共卫生事件应急处理</t>
  </si>
  <si>
    <t xml:space="preserve">      其他公共卫生支出</t>
  </si>
  <si>
    <t xml:space="preserve">    医疗保障</t>
  </si>
  <si>
    <t xml:space="preserve">      行政单位医疗</t>
  </si>
  <si>
    <t xml:space="preserve">      事业单位医疗</t>
  </si>
  <si>
    <t xml:space="preserve">      优抚对象医疗补助</t>
  </si>
  <si>
    <t xml:space="preserve">      新型农村合作医疗</t>
  </si>
  <si>
    <t xml:space="preserve">      城镇居民基本医疗保险</t>
  </si>
  <si>
    <t xml:space="preserve">      城乡医疗救助</t>
  </si>
  <si>
    <t xml:space="preserve">      其他医疗保障支出</t>
  </si>
  <si>
    <t>0</t>
  </si>
  <si>
    <t xml:space="preserve">    计划生育事务</t>
  </si>
  <si>
    <t xml:space="preserve">      计划生育机构</t>
  </si>
  <si>
    <t xml:space="preserve">      计划生育服务</t>
  </si>
  <si>
    <t xml:space="preserve">      其他计划生育事务支出</t>
  </si>
  <si>
    <t xml:space="preserve">    食品和药品监督管理事务</t>
  </si>
  <si>
    <t xml:space="preserve">      药品事务</t>
  </si>
  <si>
    <t xml:space="preserve">      食品安全事务</t>
  </si>
  <si>
    <t xml:space="preserve">      其他食品和药品监督管理事务支出</t>
  </si>
  <si>
    <t xml:space="preserve">    行政事业单位医疗</t>
  </si>
  <si>
    <t xml:space="preserve">    财政对基本医疗保险基金的补助</t>
  </si>
  <si>
    <t xml:space="preserve">      财政对城镇职工基本医疗保险基金的补助</t>
  </si>
  <si>
    <t xml:space="preserve">    其他医疗卫生与计划生育支出</t>
  </si>
  <si>
    <t xml:space="preserve">      其他医疗卫生与计划生育支出</t>
  </si>
  <si>
    <t>十、节能环保支出</t>
  </si>
  <si>
    <t xml:space="preserve">    环境保护管理事务</t>
  </si>
  <si>
    <t xml:space="preserve">      其他环境保护管理事务支出</t>
  </si>
  <si>
    <t xml:space="preserve">    环境监测与监察</t>
  </si>
  <si>
    <t xml:space="preserve">      其他环境监测与监察支出</t>
  </si>
  <si>
    <t xml:space="preserve">    污染防治</t>
  </si>
  <si>
    <t xml:space="preserve">      水体</t>
  </si>
  <si>
    <t xml:space="preserve">      排污费安排的支出</t>
  </si>
  <si>
    <t xml:space="preserve">      其他污染防治支出</t>
  </si>
  <si>
    <t xml:space="preserve">    能源节约利用</t>
  </si>
  <si>
    <t xml:space="preserve">    污染减排</t>
  </si>
  <si>
    <t xml:space="preserve">      其他污染减排支出</t>
  </si>
  <si>
    <t xml:space="preserve">    可再生能源</t>
  </si>
  <si>
    <t xml:space="preserve">    循环经济</t>
  </si>
  <si>
    <t xml:space="preserve">    其他节能环保支出</t>
  </si>
  <si>
    <t>十一、城乡社区支出</t>
  </si>
  <si>
    <t xml:space="preserve">      城乡社区管理事务</t>
  </si>
  <si>
    <t xml:space="preserve">        行政运行</t>
  </si>
  <si>
    <t xml:space="preserve">        一般行政管理事务</t>
  </si>
  <si>
    <t xml:space="preserve">        城管执法</t>
  </si>
  <si>
    <t xml:space="preserve">        工程建设管理</t>
  </si>
  <si>
    <t xml:space="preserve">        住宅建设与房地产市场监管</t>
  </si>
  <si>
    <t xml:space="preserve">        其他城乡社区管理事务支出</t>
  </si>
  <si>
    <t xml:space="preserve">      城乡社区规划与管理</t>
  </si>
  <si>
    <t xml:space="preserve">      城乡社区公共设施</t>
  </si>
  <si>
    <t xml:space="preserve">        小城镇基础设施建设</t>
  </si>
  <si>
    <t xml:space="preserve">        其他城乡社区公共设施支出</t>
  </si>
  <si>
    <t xml:space="preserve">      城乡社区环境卫生</t>
  </si>
  <si>
    <t xml:space="preserve">      建设市场管理与监督</t>
  </si>
  <si>
    <t xml:space="preserve">      其他城乡社区支出</t>
  </si>
  <si>
    <t>十二、农林水支出</t>
  </si>
  <si>
    <t xml:space="preserve">      农业</t>
  </si>
  <si>
    <t xml:space="preserve">        事业运行</t>
  </si>
  <si>
    <t xml:space="preserve">        科技转化与推广服务</t>
  </si>
  <si>
    <t xml:space="preserve">        病虫害控制</t>
  </si>
  <si>
    <t xml:space="preserve">        农产品质量安全</t>
  </si>
  <si>
    <t xml:space="preserve">        执法监管</t>
  </si>
  <si>
    <t xml:space="preserve">        农业生产资料与技术补贴</t>
  </si>
  <si>
    <t xml:space="preserve">        农业生产保险补贴</t>
  </si>
  <si>
    <t xml:space="preserve">        农业组织化与产业化经营</t>
  </si>
  <si>
    <t xml:space="preserve">        农产品加工与促销</t>
  </si>
  <si>
    <t xml:space="preserve">        农村公益事业</t>
  </si>
  <si>
    <t xml:space="preserve">        农村道路建设</t>
  </si>
  <si>
    <t xml:space="preserve">        对高校毕业生到基层任职补助</t>
  </si>
  <si>
    <t xml:space="preserve">        其他农业支出</t>
  </si>
  <si>
    <t xml:space="preserve">      林业</t>
  </si>
  <si>
    <t xml:space="preserve">        林业事业机构</t>
  </si>
  <si>
    <t xml:space="preserve">        森林培育</t>
  </si>
  <si>
    <t xml:space="preserve">        林业防灾减灾</t>
  </si>
  <si>
    <t xml:space="preserve">        其他林业支出</t>
  </si>
  <si>
    <t xml:space="preserve">      水利</t>
  </si>
  <si>
    <t xml:space="preserve">        水利行业业务管理</t>
  </si>
  <si>
    <t xml:space="preserve">        水利工程建设</t>
  </si>
  <si>
    <t xml:space="preserve">        水利工程运行与维护</t>
  </si>
  <si>
    <t xml:space="preserve">        水利前期工作</t>
  </si>
  <si>
    <t xml:space="preserve">        防汛</t>
  </si>
  <si>
    <t xml:space="preserve">        抗旱</t>
  </si>
  <si>
    <t xml:space="preserve">        农田水利</t>
  </si>
  <si>
    <r>
      <t xml:space="preserve">    </t>
    </r>
    <r>
      <rPr>
        <sz val="9"/>
        <rFont val="宋体"/>
        <family val="0"/>
      </rPr>
      <t xml:space="preserve">    </t>
    </r>
    <r>
      <rPr>
        <sz val="9"/>
        <rFont val="宋体"/>
        <family val="0"/>
      </rPr>
      <t>江河湖库水系综合整治</t>
    </r>
  </si>
  <si>
    <t xml:space="preserve">        其他水利支出</t>
  </si>
  <si>
    <t xml:space="preserve">      农村综合改革</t>
  </si>
  <si>
    <t xml:space="preserve">        对村级一事一议的补助</t>
  </si>
  <si>
    <t xml:space="preserve">        对村民委员会和村党支部的补助</t>
  </si>
  <si>
    <t xml:space="preserve">        对村集体经济组织的补助</t>
  </si>
  <si>
    <t xml:space="preserve">        其他农村综合改革支出</t>
  </si>
  <si>
    <t xml:space="preserve">      普惠金融发展支出</t>
  </si>
  <si>
    <t xml:space="preserve">        小额担保贷款贴息</t>
  </si>
  <si>
    <t xml:space="preserve">      其他农林水事务支出</t>
  </si>
  <si>
    <t xml:space="preserve">        其他农林水事务支出</t>
  </si>
  <si>
    <t>十三、交通运输支出</t>
  </si>
  <si>
    <t xml:space="preserve">      公路水路运输</t>
  </si>
  <si>
    <t xml:space="preserve">        公路新建</t>
  </si>
  <si>
    <t xml:space="preserve">        公路养护</t>
  </si>
  <si>
    <t xml:space="preserve">        其他公路水路运输支出</t>
  </si>
  <si>
    <t xml:space="preserve">      石油价格改革对交通运输的补贴</t>
  </si>
  <si>
    <t xml:space="preserve">        对农村道路客运的补贴</t>
  </si>
  <si>
    <t xml:space="preserve">      其他交通运输支出</t>
  </si>
  <si>
    <t xml:space="preserve">        公共交通运营补助</t>
  </si>
  <si>
    <t xml:space="preserve">        其他交通运输支出</t>
  </si>
  <si>
    <t>十四、资源勘探信息等支出</t>
  </si>
  <si>
    <t xml:space="preserve">      制造业</t>
  </si>
  <si>
    <t xml:space="preserve">        其他制造业支出</t>
  </si>
  <si>
    <t xml:space="preserve">      建筑业</t>
  </si>
  <si>
    <t xml:space="preserve">        其他建筑业支出</t>
  </si>
  <si>
    <t xml:space="preserve">      安全生产监管</t>
  </si>
  <si>
    <t xml:space="preserve">        安全监管监察专项</t>
  </si>
  <si>
    <t xml:space="preserve">        其他安全生产监管支出</t>
  </si>
  <si>
    <t xml:space="preserve">      支持中小企业发展和管理支出</t>
  </si>
  <si>
    <t xml:space="preserve">        科技型中小企业技术创新基金</t>
  </si>
  <si>
    <t xml:space="preserve">        中小企业发展专项</t>
  </si>
  <si>
    <t xml:space="preserve">        其他支持中小企业发展和管理支出</t>
  </si>
  <si>
    <t xml:space="preserve">      其他资源勘探信息等支出</t>
  </si>
  <si>
    <t xml:space="preserve">        技术改造支出</t>
  </si>
  <si>
    <t xml:space="preserve">        其他资源勘探信息等支出</t>
  </si>
  <si>
    <t xml:space="preserve">      商业流通事务</t>
  </si>
  <si>
    <t xml:space="preserve">        市场监测及信息管理</t>
  </si>
  <si>
    <t xml:space="preserve">        其他商业流通事务支出</t>
  </si>
  <si>
    <t xml:space="preserve">      旅游业管理与服务支出</t>
  </si>
  <si>
    <t xml:space="preserve">        其他旅游业管理与服务支出</t>
  </si>
  <si>
    <t xml:space="preserve">      涉外发展服务支出</t>
  </si>
  <si>
    <t xml:space="preserve">        其他涉外发展服务支出</t>
  </si>
  <si>
    <t xml:space="preserve">      其他商业服务业等支出</t>
  </si>
  <si>
    <t xml:space="preserve">        服务业基础设施建设</t>
  </si>
  <si>
    <t xml:space="preserve">        其他商业服务业等支出</t>
  </si>
  <si>
    <t>十六、金融支出</t>
  </si>
  <si>
    <t>十七、国土海洋气象等事务</t>
  </si>
  <si>
    <t xml:space="preserve">      国土资源事务</t>
  </si>
  <si>
    <t xml:space="preserve">        土地资源利用与保护</t>
  </si>
  <si>
    <t xml:space="preserve">        土地资源储备支出</t>
  </si>
  <si>
    <t xml:space="preserve">        国土资源调查</t>
  </si>
  <si>
    <t xml:space="preserve">        其他国土资源事务支出</t>
  </si>
  <si>
    <t xml:space="preserve">      地震事务</t>
  </si>
  <si>
    <t xml:space="preserve">        防震减灾基础管理</t>
  </si>
  <si>
    <t xml:space="preserve">      气象事务</t>
  </si>
  <si>
    <t xml:space="preserve">        气象基础设施建设与维修</t>
  </si>
  <si>
    <t>十八、住房保障支出</t>
  </si>
  <si>
    <t xml:space="preserve">      住房改革支出</t>
  </si>
  <si>
    <t xml:space="preserve">        住房公积金</t>
  </si>
  <si>
    <t xml:space="preserve">      城乡社区住宅</t>
  </si>
  <si>
    <t xml:space="preserve">        其他城乡社区住宅支出</t>
  </si>
  <si>
    <t>十九、粮油物资储备支出</t>
  </si>
  <si>
    <t xml:space="preserve">      粮油事务</t>
  </si>
  <si>
    <t xml:space="preserve">      粮油储备</t>
  </si>
  <si>
    <t xml:space="preserve">        储备粮油补贴支出</t>
  </si>
  <si>
    <t>二十、预备费</t>
  </si>
  <si>
    <t>二十一、国债还本付息支出</t>
  </si>
  <si>
    <t xml:space="preserve">        国内债务付息</t>
  </si>
  <si>
    <t xml:space="preserve">        地方政府债券付息</t>
  </si>
  <si>
    <t xml:space="preserve">        年初预留</t>
  </si>
  <si>
    <t xml:space="preserve">        其他支出</t>
  </si>
  <si>
    <t>二十三、债务付息支出</t>
  </si>
  <si>
    <t xml:space="preserve">      地方政府一般债务付息支出</t>
  </si>
  <si>
    <t xml:space="preserve">        地方政府一般债务付息支出</t>
  </si>
  <si>
    <t>表5</t>
  </si>
  <si>
    <t>2016年南昌市政府性基金收支预算执行表</t>
  </si>
  <si>
    <t>一、散装水泥专项资金收入</t>
  </si>
  <si>
    <t>一、大中型水库移民后期扶持基金支出</t>
  </si>
  <si>
    <t>二、墙体材料专项基金收入</t>
  </si>
  <si>
    <t>二、小型水库移民扶持基金支出</t>
  </si>
  <si>
    <t>三、政府住房基金收入</t>
  </si>
  <si>
    <t>三、政府住房基金支出</t>
  </si>
  <si>
    <t>四、城镇公用事业附加收入</t>
  </si>
  <si>
    <t>四、国有土地使用权出让金收入及对应专项债务收入安排的支出</t>
  </si>
  <si>
    <t>五、国有土地使用权出让金收入</t>
  </si>
  <si>
    <t>五、城镇公用事业附加支出</t>
  </si>
  <si>
    <t>六、国有土地收益基金收入</t>
  </si>
  <si>
    <t>六、国有土地收益基金支出</t>
  </si>
  <si>
    <t>七、农业土地开发资金收入</t>
  </si>
  <si>
    <t>七、农业土地开发资金支出</t>
  </si>
  <si>
    <t>八、城市基础设施配套费收入</t>
  </si>
  <si>
    <t>八、新增建设用地有偿使用费支出</t>
  </si>
  <si>
    <t>九、彩票公益金收入</t>
  </si>
  <si>
    <t>九、城市基础设施配套费</t>
  </si>
  <si>
    <t>十、其他基金收入</t>
  </si>
  <si>
    <t>十、大中型水库库区基金支出</t>
  </si>
  <si>
    <t>十一、散装水泥专项资金支出</t>
  </si>
  <si>
    <t xml:space="preserve">十二、新型墙体材料专项基金支出 </t>
  </si>
  <si>
    <t>十三、彩票公益金</t>
  </si>
  <si>
    <t>十四、其他基金支出</t>
  </si>
  <si>
    <t>表6-1</t>
  </si>
  <si>
    <t>2016年南昌市市本级政府性基金收支预算执行表</t>
  </si>
  <si>
    <t>四、城市公用事业附加收入</t>
  </si>
  <si>
    <t>四、国有土地使用权出让金支出</t>
  </si>
  <si>
    <t>表6-2</t>
  </si>
  <si>
    <t>2016年经开区、高新区和红谷滩新区政府性基金收入预算执行表</t>
  </si>
  <si>
    <t>表6-3</t>
  </si>
  <si>
    <t>2016年经开区、高新区和红谷滩新区政府性基金支出预算执行表</t>
  </si>
  <si>
    <t>表7</t>
  </si>
  <si>
    <t>2016年南昌市政府性基金收支预算执行情况表</t>
  </si>
  <si>
    <t>单位名称</t>
  </si>
  <si>
    <t>基金收入</t>
  </si>
  <si>
    <t>基金支出</t>
  </si>
  <si>
    <t>表8-1</t>
  </si>
  <si>
    <t>2017年南昌市市本级政府性基金收支预算表</t>
  </si>
  <si>
    <t>收入项 目</t>
  </si>
  <si>
    <t>收入科目</t>
  </si>
  <si>
    <t>支出功能科目</t>
  </si>
  <si>
    <t>经济分类科目</t>
  </si>
  <si>
    <t>2016年
预计支出数</t>
  </si>
  <si>
    <t>新型墙体材料专项基金收入</t>
  </si>
  <si>
    <t>1030119</t>
  </si>
  <si>
    <t xml:space="preserve">  彩票事务支出</t>
  </si>
  <si>
    <t>22960</t>
  </si>
  <si>
    <t>彩票公益金及对应专项债务收入安排的支出</t>
  </si>
  <si>
    <t>30299</t>
  </si>
  <si>
    <t>其他商品和服务支出</t>
  </si>
  <si>
    <t>城乡社区事务支出</t>
  </si>
  <si>
    <t>国有土地使用权出让金收入</t>
  </si>
  <si>
    <t>1030148</t>
  </si>
  <si>
    <t xml:space="preserve">  其中：计提被征地农民社保资金</t>
  </si>
  <si>
    <t xml:space="preserve">  国有土地使用权出让金支出</t>
  </si>
  <si>
    <t xml:space="preserve">        计提城镇廉租住房保障资金</t>
  </si>
  <si>
    <t xml:space="preserve">   其中：被征地农民养老保险支出</t>
  </si>
  <si>
    <t>2120805</t>
  </si>
  <si>
    <t>补助被征地农民支出</t>
  </si>
  <si>
    <t>30399</t>
  </si>
  <si>
    <t>其他对个人和家庭的补助支出</t>
  </si>
  <si>
    <t xml:space="preserve">        计提南昌轨道交通建设资金</t>
  </si>
  <si>
    <t xml:space="preserve">         保障性住房支出</t>
  </si>
  <si>
    <t>2120807</t>
  </si>
  <si>
    <t>廉租住房支出</t>
  </si>
  <si>
    <t>31099</t>
  </si>
  <si>
    <t>其他资本性支出</t>
  </si>
  <si>
    <t>国有土地收益基金收入</t>
  </si>
  <si>
    <t>1030146</t>
  </si>
  <si>
    <t xml:space="preserve">         南昌轨道交通建设支出</t>
  </si>
  <si>
    <t>2120802</t>
  </si>
  <si>
    <t>土地开发支出</t>
  </si>
  <si>
    <t>31005</t>
  </si>
  <si>
    <t>基础设施建设</t>
  </si>
  <si>
    <t>农业土地开发资金收入</t>
  </si>
  <si>
    <t>1030147</t>
  </si>
  <si>
    <t xml:space="preserve">         征地和拆迁补偿支出</t>
  </si>
  <si>
    <t>2120801</t>
  </si>
  <si>
    <t>征地和拆迁补偿支出</t>
  </si>
  <si>
    <t>31009</t>
  </si>
  <si>
    <t>土地补偿</t>
  </si>
  <si>
    <t>彩票公益金收入</t>
  </si>
  <si>
    <t>10355</t>
  </si>
  <si>
    <t xml:space="preserve">         重大重点项目及还本付息等支出</t>
  </si>
  <si>
    <t>2120803</t>
  </si>
  <si>
    <t>城市建设支出</t>
  </si>
  <si>
    <t>城市基础设施配套费收入</t>
  </si>
  <si>
    <t xml:space="preserve">  国有土地收益基金支出</t>
  </si>
  <si>
    <t>国有土地收益基金及对应专项债务收入安排的支出</t>
  </si>
  <si>
    <t>31012</t>
  </si>
  <si>
    <t>拆迁补偿</t>
  </si>
  <si>
    <t>103044609</t>
  </si>
  <si>
    <t xml:space="preserve">  农业土地开发资金支出</t>
  </si>
  <si>
    <t>21211</t>
  </si>
  <si>
    <t>农业土地开发资金及对应专项债务收入安排的支出</t>
  </si>
  <si>
    <t xml:space="preserve">  城市基础设施配套费支出</t>
  </si>
  <si>
    <t>城市基础设施配套费及对应专项收入安排的支出</t>
  </si>
  <si>
    <t>资源勘探电力信息等事务</t>
  </si>
  <si>
    <t xml:space="preserve">  新型墙体材料专项基金支出</t>
  </si>
  <si>
    <t>水土保持</t>
  </si>
  <si>
    <t>商品和服务支出</t>
  </si>
  <si>
    <t>合计</t>
  </si>
  <si>
    <t>表8-2</t>
  </si>
  <si>
    <t>2017年经开区、高新区和红谷滩新区政府性基金预算收入草案表</t>
  </si>
  <si>
    <t>2015年
执行数</t>
  </si>
  <si>
    <r>
      <t>201</t>
    </r>
    <r>
      <rPr>
        <sz val="9"/>
        <rFont val="宋体"/>
        <family val="0"/>
      </rPr>
      <t>6年比　　　2015年±%</t>
    </r>
  </si>
  <si>
    <t>三、育林基金收入</t>
  </si>
  <si>
    <t>四、森林植被恢复费</t>
  </si>
  <si>
    <t>五、城镇公用事业附加收入</t>
  </si>
  <si>
    <t>六、国有土地使用权出让金收入</t>
  </si>
  <si>
    <t>七、国有土地收益基金收入</t>
  </si>
  <si>
    <t>八、农业土地开发资金收入</t>
  </si>
  <si>
    <t>九、城市基础设施配套费收入</t>
  </si>
  <si>
    <t>十、彩票公益金收入</t>
  </si>
  <si>
    <t>十一、其他基金收入</t>
  </si>
  <si>
    <t>表8-3</t>
  </si>
  <si>
    <t>2017年经开区、高新区和红谷滩新区政府性基金预算支出草案表</t>
  </si>
  <si>
    <r>
      <t>201</t>
    </r>
    <r>
      <rPr>
        <sz val="9"/>
        <rFont val="宋体"/>
        <family val="0"/>
      </rPr>
      <t>5年
预算数</t>
    </r>
  </si>
  <si>
    <r>
      <t>201</t>
    </r>
    <r>
      <rPr>
        <sz val="9"/>
        <rFont val="宋体"/>
        <family val="0"/>
      </rPr>
      <t>6</t>
    </r>
    <r>
      <rPr>
        <sz val="9"/>
        <rFont val="宋体"/>
        <family val="0"/>
      </rPr>
      <t>年比　　　201</t>
    </r>
    <r>
      <rPr>
        <sz val="9"/>
        <rFont val="宋体"/>
        <family val="0"/>
      </rPr>
      <t>5</t>
    </r>
    <r>
      <rPr>
        <sz val="9"/>
        <rFont val="宋体"/>
        <family val="0"/>
      </rPr>
      <t>年±%</t>
    </r>
  </si>
  <si>
    <t>一、彩票事务</t>
  </si>
  <si>
    <t>二、国有土地使用权出让金支出</t>
  </si>
  <si>
    <t>三、国有土地收益基金支出</t>
  </si>
  <si>
    <t>四、农业土地开发资金支出</t>
  </si>
  <si>
    <t>五、城市基础设施配套费支出</t>
  </si>
  <si>
    <t>六、散装水泥专项资金支出</t>
  </si>
  <si>
    <t xml:space="preserve">七、新型墙体材料专项基金支出 </t>
  </si>
  <si>
    <t>八、新增建设用地有偿使用支出</t>
  </si>
  <si>
    <t>九、城镇公用事业附加支出</t>
  </si>
  <si>
    <t>十、育林基金支出</t>
  </si>
  <si>
    <t>十一、森林植被恢复费支出</t>
  </si>
  <si>
    <t>十二、其他基金支出</t>
  </si>
  <si>
    <t>十三、债务付息支出</t>
  </si>
  <si>
    <t>附件9-1</t>
  </si>
  <si>
    <t>2016年南昌市国有资本经营收支预算执行情况表</t>
  </si>
  <si>
    <t>收     入</t>
  </si>
  <si>
    <t>支出</t>
  </si>
  <si>
    <t>一、利润收入</t>
  </si>
  <si>
    <t>一、社会保障和就业支出</t>
  </si>
  <si>
    <t>机械企业利润收入</t>
  </si>
  <si>
    <t xml:space="preserve">    国有资本经营预算补充社保基金支出</t>
  </si>
  <si>
    <t>投资服务企业利润收入</t>
  </si>
  <si>
    <t>二、国有资本经营预算支出</t>
  </si>
  <si>
    <t>纺织轻工企业利润收入</t>
  </si>
  <si>
    <t xml:space="preserve">    解决历史遗留问题及改革成本支出</t>
  </si>
  <si>
    <t>建筑施工企业利润收入</t>
  </si>
  <si>
    <t xml:space="preserve">      国有企业改革成本支出</t>
  </si>
  <si>
    <t>其他国有资本经营预算企业利润收入</t>
  </si>
  <si>
    <t>二、股利、股息收入</t>
  </si>
  <si>
    <t xml:space="preserve">    国有企业资本金注入</t>
  </si>
  <si>
    <t>国有控股公司股利、股息收入</t>
  </si>
  <si>
    <t xml:space="preserve">      国有经济结构调整支出</t>
  </si>
  <si>
    <t>国有参股公司股利、股息收入</t>
  </si>
  <si>
    <t xml:space="preserve">      公益性设施投资支出</t>
  </si>
  <si>
    <t>三、产权转让收入</t>
  </si>
  <si>
    <t xml:space="preserve">      前瞻性战略性产业发展支出</t>
  </si>
  <si>
    <t>国有股权、股份转让收入</t>
  </si>
  <si>
    <t xml:space="preserve">      支持科技进步支出</t>
  </si>
  <si>
    <t>四、清算收入</t>
  </si>
  <si>
    <t xml:space="preserve">      对外投资合作支出</t>
  </si>
  <si>
    <t>国有股权、股份清算收入</t>
  </si>
  <si>
    <t xml:space="preserve">    其他国有资本经营预算支出</t>
  </si>
  <si>
    <t>五、其他国有资本经营预算收入</t>
  </si>
  <si>
    <t xml:space="preserve">      其他国有资本经营预算支出</t>
  </si>
  <si>
    <t>三、转移性支出</t>
  </si>
  <si>
    <t>上年结转收入</t>
  </si>
  <si>
    <t xml:space="preserve">      国有资本经营预算调出资金</t>
  </si>
  <si>
    <t>合     计</t>
  </si>
  <si>
    <t>结转下年支出</t>
  </si>
  <si>
    <t xml:space="preserve"> 总         计</t>
  </si>
  <si>
    <t>附件9-2</t>
  </si>
  <si>
    <t>2016年南昌市市本级国有资本经营收支预算执行情况表</t>
  </si>
  <si>
    <t>附件9-3</t>
  </si>
  <si>
    <t>2017年南昌市国有资本经营收支预算执行表</t>
  </si>
  <si>
    <t>项目</t>
  </si>
  <si>
    <t xml:space="preserve">      其他解决历史遗留问题及改革成本支出</t>
  </si>
  <si>
    <t xml:space="preserve">      其他国有企业资本金注入</t>
  </si>
  <si>
    <t>附件9-4</t>
  </si>
  <si>
    <t>2017年南昌市市本级国有资本经营收支预算执行表</t>
  </si>
  <si>
    <t>表10-1</t>
  </si>
  <si>
    <t>2016年南昌市市本级社会保险基金收支预算执行情况表</t>
  </si>
  <si>
    <t>项  目</t>
  </si>
  <si>
    <t>2016年比2015年±%</t>
  </si>
  <si>
    <t>项　目</t>
  </si>
  <si>
    <t>社会保险基金收入合计</t>
  </si>
  <si>
    <t>社会保险基金支出合计</t>
  </si>
  <si>
    <t xml:space="preserve">    其中：保险费收入</t>
  </si>
  <si>
    <t>　　其中：社会保险待遇支出</t>
  </si>
  <si>
    <t xml:space="preserve">          财政补贴收入</t>
  </si>
  <si>
    <t>一、企业职工基本养老保险基金支出</t>
  </si>
  <si>
    <t xml:space="preserve">          利息收入</t>
  </si>
  <si>
    <t>　　其中：基本养老保险待遇支出</t>
  </si>
  <si>
    <t>一、企业职工基本养老保险基金收入</t>
  </si>
  <si>
    <t>二、机关事业单位基本养老保险基金</t>
  </si>
  <si>
    <t xml:space="preserve"> </t>
  </si>
  <si>
    <t>三、失业保险基金支出</t>
  </si>
  <si>
    <t>　　其中：失业保险待遇支出</t>
  </si>
  <si>
    <t>四、城镇职工基本医疗保险基金支出</t>
  </si>
  <si>
    <t>　　其中：基本医疗保险待遇支出</t>
  </si>
  <si>
    <t>五、工伤保险基金支出</t>
  </si>
  <si>
    <t>　　其中：工伤保险待遇支出</t>
  </si>
  <si>
    <t>三、失业保险基金收入</t>
  </si>
  <si>
    <t>六、生育保险基金支出</t>
  </si>
  <si>
    <t>　　其中：生育保险待遇支出</t>
  </si>
  <si>
    <t>七、城乡居民基本养老保险基金支出</t>
  </si>
  <si>
    <t>　　其中：城乡居民基本养老金支出</t>
  </si>
  <si>
    <t>四、城镇职工基本医疗保险基金收入</t>
  </si>
  <si>
    <t>八、城乡居民基本医疗保险基金支出</t>
  </si>
  <si>
    <t>　　其中：城乡居民本医疗保险待遇支出</t>
  </si>
  <si>
    <t>五、工伤保险基金收入</t>
  </si>
  <si>
    <t>六、生育保险基金收入</t>
  </si>
  <si>
    <t>七、城乡居民基本养老保险基金收入</t>
  </si>
  <si>
    <t>八、城乡居民基本医疗保险基金收入</t>
  </si>
  <si>
    <t xml:space="preserve">说明：由于2016年社会保险基金预算实际执行数需待决算后确定，因此本表中的“2016年执行数”为2016年全年执行数的预计数。                                    </t>
  </si>
  <si>
    <t>表10-2</t>
  </si>
  <si>
    <t>2016年南昌市市本级社会保险基金收支预算结余执行情况表</t>
  </si>
  <si>
    <t>社会保险基金本年收支结余</t>
  </si>
  <si>
    <t>社会保险基金年末滚存结余</t>
  </si>
  <si>
    <t>一、企业职工基本养老保险基金本年收支结余</t>
  </si>
  <si>
    <t>　　企业职工基本养老保险基金年末滚存结余</t>
  </si>
  <si>
    <t>二、机关事业单位基本养老保险基金收支结余</t>
  </si>
  <si>
    <t xml:space="preserve">    机关事业单位基本养老保险基金年末滚存结余</t>
  </si>
  <si>
    <t>三、失业保险基金本年收支结余</t>
  </si>
  <si>
    <t>　　失业保险基金年末滚存结余</t>
  </si>
  <si>
    <t>四、城镇职工基本医疗保险基金本年收支结余</t>
  </si>
  <si>
    <t>　　城镇职工基本医疗保险基金年末滚存结余</t>
  </si>
  <si>
    <t>五、工伤保险基金本年收支结余</t>
  </si>
  <si>
    <t>　　工伤保险基金年末滚存结余</t>
  </si>
  <si>
    <t>六、生育保险基金本年收支结余</t>
  </si>
  <si>
    <t>　　生育保险基金年末滚存结余</t>
  </si>
  <si>
    <t>七、城乡居民社会养老保险基金本年收支结余</t>
  </si>
  <si>
    <t>　　城乡居民社会养老保险基金年末滚存结余</t>
  </si>
  <si>
    <t>八、城乡居民基本医疗保险基金本年收支结余</t>
  </si>
  <si>
    <t>　　城乡居民基本医疗保险基金年末滚存结余</t>
  </si>
  <si>
    <t>表10-3</t>
  </si>
  <si>
    <t>2016年经开区、高新区和红谷滩新区社会保险基金收入预算执行表</t>
  </si>
  <si>
    <t>2016年比　　　2015年±%</t>
  </si>
  <si>
    <t>切换成万元</t>
  </si>
  <si>
    <t>表10-4</t>
  </si>
  <si>
    <t>2016年经开区、高新区和红谷滩新区社会保险基金支出预算执行表</t>
  </si>
  <si>
    <t>表10-5</t>
  </si>
  <si>
    <t>2016年经开区、高新区和红谷滩新区社会保险基金收支预算结余执行情况表</t>
  </si>
  <si>
    <t>2016年</t>
  </si>
  <si>
    <t>2015年</t>
  </si>
  <si>
    <t>表10-6</t>
  </si>
  <si>
    <t>2017年南昌市市本级社会保险基金预算收支表</t>
  </si>
  <si>
    <t>2017年比　　　2016年±%</t>
  </si>
  <si>
    <t>　　其中：城乡基本医疗保险待遇支出</t>
  </si>
  <si>
    <t>表10-7</t>
  </si>
  <si>
    <t>2017年南昌市市本级社会保险基金预算结余表</t>
  </si>
  <si>
    <t>2017年预算数</t>
  </si>
  <si>
    <t>2016年执行数</t>
  </si>
  <si>
    <t>八、居民基本医疗保险基金本年收支结余</t>
  </si>
  <si>
    <t>　　居民基本医疗保险基金年末滚存结余</t>
  </si>
  <si>
    <t>表10-8</t>
  </si>
  <si>
    <t>2017年经开区、高新区和红谷滩新区社会保险基金预算收入表</t>
  </si>
  <si>
    <t>表10-9</t>
  </si>
  <si>
    <t>2017年经开区、高新区和红谷滩新区社会保险基金预算支出表</t>
  </si>
  <si>
    <t>表10-10</t>
  </si>
  <si>
    <t>2017年经开区、高新区和红谷滩新区社会保险基金预算结余表</t>
  </si>
  <si>
    <r>
      <t>2</t>
    </r>
    <r>
      <rPr>
        <sz val="9"/>
        <color indexed="8"/>
        <rFont val="宋体"/>
        <family val="0"/>
      </rPr>
      <t>017</t>
    </r>
    <r>
      <rPr>
        <sz val="9"/>
        <color indexed="8"/>
        <rFont val="宋体"/>
        <family val="0"/>
      </rPr>
      <t>年
预算数</t>
    </r>
  </si>
  <si>
    <r>
      <t>2</t>
    </r>
    <r>
      <rPr>
        <sz val="9"/>
        <color indexed="8"/>
        <rFont val="宋体"/>
        <family val="0"/>
      </rPr>
      <t>016</t>
    </r>
    <r>
      <rPr>
        <sz val="9"/>
        <color indexed="8"/>
        <rFont val="宋体"/>
        <family val="0"/>
      </rPr>
      <t>年
执行数</t>
    </r>
  </si>
  <si>
    <t>市十五届人大二次会议秘书处                                     2017年2月5日印</t>
  </si>
</sst>
</file>

<file path=xl/styles.xml><?xml version="1.0" encoding="utf-8"?>
<styleSheet xmlns="http://schemas.openxmlformats.org/spreadsheetml/2006/main">
  <numFmts count="4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\(#,##0\)"/>
    <numFmt numFmtId="177" formatCode="_-&quot;$&quot;* #,##0_-;\-&quot;$&quot;* #,##0_-;_-&quot;$&quot;* &quot;-&quot;_-;_-@_-"/>
    <numFmt numFmtId="178" formatCode="#,##0.0_);\(#,##0.0\)"/>
    <numFmt numFmtId="179" formatCode="_-&quot;$&quot;\ * #,##0_-;_-&quot;$&quot;\ * #,##0\-;_-&quot;$&quot;\ * &quot;-&quot;_-;_-@_-"/>
    <numFmt numFmtId="180" formatCode="#,##0;\(#,##0\)"/>
    <numFmt numFmtId="181" formatCode="_-&quot;$&quot;\ * #,##0.00_-;_-&quot;$&quot;\ * #,##0.00\-;_-&quot;$&quot;\ * &quot;-&quot;??_-;_-@_-"/>
    <numFmt numFmtId="182" formatCode="yy\.mm\.dd"/>
    <numFmt numFmtId="183" formatCode="0.0"/>
    <numFmt numFmtId="184" formatCode="&quot;$&quot;#,##0.00_);[Red]\(&quot;$&quot;#,##0.00\)"/>
    <numFmt numFmtId="185" formatCode="_-* #,##0.00_-;\-* #,##0.00_-;_-* &quot;-&quot;??_-;_-@_-"/>
    <numFmt numFmtId="186" formatCode="&quot;綅&quot;\t#,##0_);[Red]\(&quot;綅&quot;\t#,##0\)"/>
    <numFmt numFmtId="187" formatCode="0.00_)"/>
    <numFmt numFmtId="188" formatCode="_-* #,##0.00\ _k_r_-;\-* #,##0.00\ _k_r_-;_-* &quot;-&quot;??\ _k_r_-;_-@_-"/>
    <numFmt numFmtId="189" formatCode="_(&quot;$&quot;* #,##0.00_);_(&quot;$&quot;* \(#,##0.00\);_(&quot;$&quot;* &quot;-&quot;??_);_(@_)"/>
    <numFmt numFmtId="190" formatCode="&quot;$&quot;#,##0_);\(&quot;$&quot;#,##0\)"/>
    <numFmt numFmtId="191" formatCode="\$#,##0.00;\(\$#,##0.00\)"/>
    <numFmt numFmtId="192" formatCode="&quot;?\t#,##0_);[Red]\(&quot;&quot;?&quot;\t#,##0\)"/>
    <numFmt numFmtId="193" formatCode="\$#,##0;\(\$#,##0\)"/>
    <numFmt numFmtId="194" formatCode="#\ ??/??"/>
    <numFmt numFmtId="195" formatCode="_-* #,##0\ _k_r_-;\-* #,##0\ _k_r_-;_-* &quot;-&quot;\ _k_r_-;_-@_-"/>
    <numFmt numFmtId="196" formatCode="&quot;$&quot;\ #,##0.00_-;[Red]&quot;$&quot;\ #,##0.00\-"/>
    <numFmt numFmtId="197" formatCode="&quot;$&quot;#,##0_);[Red]\(&quot;$&quot;#,##0\)"/>
    <numFmt numFmtId="198" formatCode="_(&quot;$&quot;* #,##0_);_(&quot;$&quot;* \(#,##0\);_(&quot;$&quot;* &quot;-&quot;_);_(@_)"/>
    <numFmt numFmtId="199" formatCode="#,##0;\-#,##0;&quot;-&quot;"/>
    <numFmt numFmtId="200" formatCode="_-&quot;$&quot;* #,##0.00_-;\-&quot;$&quot;* #,##0.00_-;_-&quot;$&quot;* &quot;-&quot;??_-;_-@_-"/>
    <numFmt numFmtId="201" formatCode="_-* #,##0_$_-;\-* #,##0_$_-;_-* &quot;-&quot;_$_-;_-@_-"/>
    <numFmt numFmtId="202" formatCode="_-* #,##0.00_$_-;\-* #,##0.00_$_-;_-* &quot;-&quot;??_$_-;_-@_-"/>
    <numFmt numFmtId="203" formatCode="_-* #,##0&quot;$&quot;_-;\-* #,##0&quot;$&quot;_-;_-* &quot;-&quot;&quot;$&quot;_-;_-@_-"/>
    <numFmt numFmtId="204" formatCode="_-* #,##0.00&quot;$&quot;_-;\-* #,##0.00&quot;$&quot;_-;_-* &quot;-&quot;??&quot;$&quot;_-;_-@_-"/>
    <numFmt numFmtId="205" formatCode="0_ "/>
    <numFmt numFmtId="206" formatCode="0_);[Red]\(0\)"/>
    <numFmt numFmtId="207" formatCode="0.0_ "/>
    <numFmt numFmtId="208" formatCode="0.0_);[Red]\(0.0\)"/>
    <numFmt numFmtId="209" formatCode="0.00_);[Red]\(0.00\)"/>
    <numFmt numFmtId="210" formatCode="0.00_ "/>
    <numFmt numFmtId="211" formatCode="0.000_ "/>
  </numFmts>
  <fonts count="130">
    <font>
      <sz val="12"/>
      <name val="宋体"/>
      <family val="0"/>
    </font>
    <font>
      <sz val="18"/>
      <name val="楷体_GB2312"/>
      <family val="3"/>
    </font>
    <font>
      <sz val="12"/>
      <name val="楷体_GB2312"/>
      <family val="3"/>
    </font>
    <font>
      <sz val="10"/>
      <name val="宋体"/>
      <family val="0"/>
    </font>
    <font>
      <sz val="20"/>
      <color indexed="8"/>
      <name val="黑体"/>
      <family val="3"/>
    </font>
    <font>
      <sz val="9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sz val="9"/>
      <name val="Times New Roman"/>
      <family val="1"/>
    </font>
    <font>
      <sz val="8"/>
      <name val="宋体"/>
      <family val="0"/>
    </font>
    <font>
      <sz val="10"/>
      <name val="Arial"/>
      <family val="2"/>
    </font>
    <font>
      <sz val="20"/>
      <name val="黑体"/>
      <family val="3"/>
    </font>
    <font>
      <sz val="12"/>
      <name val="仿宋_GB2312"/>
      <family val="0"/>
    </font>
    <font>
      <b/>
      <sz val="9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b/>
      <sz val="11"/>
      <name val="宋体"/>
      <family val="0"/>
    </font>
    <font>
      <b/>
      <sz val="10.5"/>
      <name val="宋体"/>
      <family val="0"/>
    </font>
    <font>
      <sz val="10"/>
      <color indexed="10"/>
      <name val="Helv"/>
      <family val="2"/>
    </font>
    <font>
      <sz val="10"/>
      <name val="Helv"/>
      <family val="2"/>
    </font>
    <font>
      <sz val="12"/>
      <name val="黑体"/>
      <family val="3"/>
    </font>
    <font>
      <sz val="9"/>
      <color indexed="10"/>
      <name val="宋体"/>
      <family val="0"/>
    </font>
    <font>
      <b/>
      <sz val="20"/>
      <name val="黑体"/>
      <family val="3"/>
    </font>
    <font>
      <b/>
      <sz val="12"/>
      <name val="宋体"/>
      <family val="0"/>
    </font>
    <font>
      <sz val="10.5"/>
      <name val="宋体"/>
      <family val="0"/>
    </font>
    <font>
      <sz val="10.5"/>
      <color indexed="10"/>
      <name val="宋体"/>
      <family val="0"/>
    </font>
    <font>
      <b/>
      <sz val="10"/>
      <name val="宋体"/>
      <family val="0"/>
    </font>
    <font>
      <sz val="16"/>
      <name val="黑体"/>
      <family val="3"/>
    </font>
    <font>
      <sz val="22"/>
      <name val="宋体"/>
      <family val="0"/>
    </font>
    <font>
      <sz val="36"/>
      <name val="黑体"/>
      <family val="3"/>
    </font>
    <font>
      <sz val="12"/>
      <color indexed="10"/>
      <name val="宋体"/>
      <family val="0"/>
    </font>
    <font>
      <sz val="11"/>
      <color indexed="42"/>
      <name val="宋体"/>
      <family val="0"/>
    </font>
    <font>
      <sz val="11"/>
      <color indexed="20"/>
      <name val="宋体"/>
      <family val="0"/>
    </font>
    <font>
      <sz val="12"/>
      <color indexed="20"/>
      <name val="宋体"/>
      <family val="0"/>
    </font>
    <font>
      <sz val="12"/>
      <color indexed="20"/>
      <name val="楷体_GB2312"/>
      <family val="3"/>
    </font>
    <font>
      <sz val="10.5"/>
      <color indexed="20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b/>
      <sz val="13"/>
      <color indexed="62"/>
      <name val="宋体"/>
      <family val="0"/>
    </font>
    <font>
      <sz val="10"/>
      <color indexed="20"/>
      <name val="宋体"/>
      <family val="0"/>
    </font>
    <font>
      <b/>
      <sz val="11"/>
      <color indexed="42"/>
      <name val="宋体"/>
      <family val="0"/>
    </font>
    <font>
      <sz val="11"/>
      <color indexed="10"/>
      <name val="宋体"/>
      <family val="0"/>
    </font>
    <font>
      <b/>
      <sz val="15"/>
      <color indexed="62"/>
      <name val="宋体"/>
      <family val="0"/>
    </font>
    <font>
      <sz val="11"/>
      <color indexed="17"/>
      <name val="宋体"/>
      <family val="0"/>
    </font>
    <font>
      <sz val="10.5"/>
      <color indexed="17"/>
      <name val="宋体"/>
      <family val="0"/>
    </font>
    <font>
      <sz val="11"/>
      <color indexed="8"/>
      <name val="Tahoma"/>
      <family val="2"/>
    </font>
    <font>
      <sz val="12"/>
      <color indexed="8"/>
      <name val="楷体_GB2312"/>
      <family val="3"/>
    </font>
    <font>
      <sz val="10"/>
      <color indexed="8"/>
      <name val="Arial"/>
      <family val="2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sz val="12"/>
      <color indexed="17"/>
      <name val="宋体"/>
      <family val="0"/>
    </font>
    <font>
      <sz val="8"/>
      <name val="Times New Roman"/>
      <family val="1"/>
    </font>
    <font>
      <sz val="11"/>
      <color indexed="9"/>
      <name val="Tahoma"/>
      <family val="2"/>
    </font>
    <font>
      <sz val="8"/>
      <name val="Arial"/>
      <family val="2"/>
    </font>
    <font>
      <sz val="12"/>
      <color indexed="17"/>
      <name val="楷体_GB2312"/>
      <family val="3"/>
    </font>
    <font>
      <sz val="11"/>
      <color indexed="20"/>
      <name val="Tahoma"/>
      <family val="2"/>
    </font>
    <font>
      <sz val="12"/>
      <name val="Helv"/>
      <family val="2"/>
    </font>
    <font>
      <sz val="10"/>
      <name val="MS Sans Serif"/>
      <family val="2"/>
    </font>
    <font>
      <sz val="7"/>
      <color indexed="10"/>
      <name val="Helv"/>
      <family val="2"/>
    </font>
    <font>
      <b/>
      <sz val="11"/>
      <color indexed="56"/>
      <name val="楷体_GB2312"/>
      <family val="3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0"/>
      <color indexed="17"/>
      <name val="宋体"/>
      <family val="0"/>
    </font>
    <font>
      <u val="single"/>
      <sz val="7.5"/>
      <color indexed="12"/>
      <name val="Arial"/>
      <family val="2"/>
    </font>
    <font>
      <sz val="12"/>
      <color indexed="9"/>
      <name val="宋体"/>
      <family val="0"/>
    </font>
    <font>
      <sz val="10"/>
      <name val="Times New Roman"/>
      <family val="1"/>
    </font>
    <font>
      <b/>
      <sz val="12"/>
      <name val="Arial"/>
      <family val="2"/>
    </font>
    <font>
      <sz val="7"/>
      <name val="Helv"/>
      <family val="2"/>
    </font>
    <font>
      <sz val="11"/>
      <color indexed="62"/>
      <name val="Tahoma"/>
      <family val="2"/>
    </font>
    <font>
      <b/>
      <sz val="11"/>
      <color indexed="56"/>
      <name val="Tahoma"/>
      <family val="2"/>
    </font>
    <font>
      <b/>
      <sz val="11"/>
      <color indexed="63"/>
      <name val="Tahoma"/>
      <family val="2"/>
    </font>
    <font>
      <b/>
      <sz val="11"/>
      <color indexed="56"/>
      <name val="宋体"/>
      <family val="0"/>
    </font>
    <font>
      <sz val="7"/>
      <name val="Small Fonts"/>
      <family val="2"/>
    </font>
    <font>
      <sz val="11"/>
      <color indexed="60"/>
      <name val="宋体"/>
      <family val="0"/>
    </font>
    <font>
      <b/>
      <sz val="10"/>
      <color indexed="10"/>
      <name val="Arial"/>
      <family val="2"/>
    </font>
    <font>
      <b/>
      <sz val="14"/>
      <name val="楷体"/>
      <family val="3"/>
    </font>
    <font>
      <sz val="11"/>
      <color indexed="17"/>
      <name val="Tahoma"/>
      <family val="2"/>
    </font>
    <font>
      <sz val="12"/>
      <name val="Times New Roman"/>
      <family val="1"/>
    </font>
    <font>
      <sz val="12"/>
      <color indexed="9"/>
      <name val="楷体_GB2312"/>
      <family val="3"/>
    </font>
    <font>
      <b/>
      <sz val="8"/>
      <name val="Arial"/>
      <family val="2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b/>
      <i/>
      <sz val="16"/>
      <name val="Helv"/>
      <family val="2"/>
    </font>
    <font>
      <b/>
      <sz val="13"/>
      <color indexed="56"/>
      <name val="楷体_GB2312"/>
      <family val="3"/>
    </font>
    <font>
      <i/>
      <sz val="11"/>
      <color indexed="23"/>
      <name val="Tahoma"/>
      <family val="2"/>
    </font>
    <font>
      <b/>
      <sz val="11"/>
      <color indexed="52"/>
      <name val="Tahoma"/>
      <family val="2"/>
    </font>
    <font>
      <b/>
      <sz val="13"/>
      <color indexed="56"/>
      <name val="宋体"/>
      <family val="0"/>
    </font>
    <font>
      <sz val="11"/>
      <color indexed="60"/>
      <name val="Tahoma"/>
      <family val="2"/>
    </font>
    <font>
      <b/>
      <sz val="10"/>
      <name val="Arial"/>
      <family val="2"/>
    </font>
    <font>
      <u val="single"/>
      <sz val="7.5"/>
      <color indexed="36"/>
      <name val="Arial"/>
      <family val="2"/>
    </font>
    <font>
      <b/>
      <sz val="9"/>
      <name val="Arial"/>
      <family val="2"/>
    </font>
    <font>
      <b/>
      <sz val="15"/>
      <color indexed="56"/>
      <name val="楷体_GB2312"/>
      <family val="3"/>
    </font>
    <font>
      <sz val="10"/>
      <name val="Courier"/>
      <family val="2"/>
    </font>
    <font>
      <sz val="10"/>
      <name val="微软雅黑"/>
      <family val="2"/>
    </font>
    <font>
      <b/>
      <sz val="10"/>
      <name val="MS Sans Serif"/>
      <family val="2"/>
    </font>
    <font>
      <sz val="11"/>
      <color indexed="52"/>
      <name val="Tahoma"/>
      <family val="2"/>
    </font>
    <font>
      <b/>
      <sz val="18"/>
      <name val="Arial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sz val="10"/>
      <name val="Geneva"/>
      <family val="2"/>
    </font>
    <font>
      <b/>
      <sz val="15"/>
      <color indexed="56"/>
      <name val="宋体"/>
      <family val="0"/>
    </font>
    <font>
      <b/>
      <sz val="11"/>
      <color indexed="9"/>
      <name val="Tahoma"/>
      <family val="2"/>
    </font>
    <font>
      <b/>
      <sz val="12"/>
      <color indexed="63"/>
      <name val="楷体_GB2312"/>
      <family val="3"/>
    </font>
    <font>
      <b/>
      <sz val="18"/>
      <color indexed="56"/>
      <name val="宋体"/>
      <family val="0"/>
    </font>
    <font>
      <b/>
      <sz val="10"/>
      <name val="Tms Rmn"/>
      <family val="2"/>
    </font>
    <font>
      <sz val="12"/>
      <color indexed="62"/>
      <name val="楷体_GB2312"/>
      <family val="3"/>
    </font>
    <font>
      <sz val="12"/>
      <name val="新細明體"/>
      <family val="1"/>
    </font>
    <font>
      <sz val="12"/>
      <name val="Courier"/>
      <family val="2"/>
    </font>
    <font>
      <sz val="11"/>
      <color indexed="10"/>
      <name val="Tahoma"/>
      <family val="2"/>
    </font>
    <font>
      <sz val="12"/>
      <name val="Arial"/>
      <family val="2"/>
    </font>
    <font>
      <sz val="12"/>
      <color indexed="10"/>
      <name val="楷体_GB2312"/>
      <family val="3"/>
    </font>
    <font>
      <sz val="10"/>
      <name val="楷体"/>
      <family val="3"/>
    </font>
    <font>
      <b/>
      <sz val="11"/>
      <color indexed="8"/>
      <name val="Tahoma"/>
      <family val="2"/>
    </font>
    <font>
      <sz val="12"/>
      <color indexed="9"/>
      <name val="Helv"/>
      <family val="2"/>
    </font>
    <font>
      <sz val="10"/>
      <color indexed="8"/>
      <name val="MS Sans Serif"/>
      <family val="2"/>
    </font>
    <font>
      <sz val="11"/>
      <name val="ＭＳ Ｐゴシック"/>
      <family val="2"/>
    </font>
    <font>
      <sz val="12"/>
      <name val="官帕眉"/>
      <family val="0"/>
    </font>
    <font>
      <sz val="12"/>
      <color indexed="60"/>
      <name val="楷体_GB2312"/>
      <family val="3"/>
    </font>
    <font>
      <sz val="12"/>
      <color indexed="16"/>
      <name val="宋体"/>
      <family val="0"/>
    </font>
    <font>
      <sz val="12"/>
      <color indexed="52"/>
      <name val="楷体_GB2312"/>
      <family val="3"/>
    </font>
    <font>
      <u val="single"/>
      <sz val="12"/>
      <color indexed="20"/>
      <name val="宋体"/>
      <family val="0"/>
    </font>
    <font>
      <b/>
      <sz val="12"/>
      <color indexed="8"/>
      <name val="楷体_GB2312"/>
      <family val="3"/>
    </font>
    <font>
      <b/>
      <sz val="12"/>
      <color indexed="52"/>
      <name val="楷体_GB2312"/>
      <family val="3"/>
    </font>
    <font>
      <b/>
      <sz val="12"/>
      <color indexed="9"/>
      <name val="楷体_GB2312"/>
      <family val="3"/>
    </font>
    <font>
      <i/>
      <sz val="12"/>
      <color indexed="23"/>
      <name val="楷体_GB2312"/>
      <family val="3"/>
    </font>
    <font>
      <sz val="12"/>
      <name val="바탕체"/>
      <family val="3"/>
    </font>
    <font>
      <b/>
      <sz val="12"/>
      <color indexed="8"/>
      <name val="宋体"/>
      <family val="0"/>
    </font>
  </fonts>
  <fills count="43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gray06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mediumGray">
        <fgColor indexed="22"/>
      </patternFill>
    </fill>
    <fill>
      <patternFill patternType="solid">
        <fgColor indexed="4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</borders>
  <cellStyleXfs count="164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42" fontId="0" fillId="0" borderId="0" applyFont="0" applyFill="0" applyBorder="0" applyAlignment="0" applyProtection="0"/>
    <xf numFmtId="0" fontId="35" fillId="3" borderId="0" applyNumberFormat="0" applyBorder="0" applyAlignment="0" applyProtection="0"/>
    <xf numFmtId="0" fontId="37" fillId="4" borderId="0" applyNumberFormat="0" applyBorder="0" applyAlignment="0" applyProtection="0"/>
    <xf numFmtId="0" fontId="47" fillId="0" borderId="0">
      <alignment vertical="top"/>
      <protection/>
    </xf>
    <xf numFmtId="0" fontId="36" fillId="5" borderId="1" applyNumberFormat="0" applyAlignment="0" applyProtection="0"/>
    <xf numFmtId="0" fontId="32" fillId="3" borderId="0" applyNumberFormat="0" applyBorder="0" applyAlignment="0" applyProtection="0"/>
    <xf numFmtId="0" fontId="32" fillId="6" borderId="0" applyNumberFormat="0" applyBorder="0" applyAlignment="0" applyProtection="0"/>
    <xf numFmtId="0" fontId="1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47" fillId="0" borderId="0">
      <alignment vertical="top"/>
      <protection/>
    </xf>
    <xf numFmtId="0" fontId="32" fillId="6" borderId="0" applyNumberFormat="0" applyBorder="0" applyAlignment="0" applyProtection="0"/>
    <xf numFmtId="0" fontId="52" fillId="0" borderId="0">
      <alignment horizontal="center" wrapText="1"/>
      <protection locked="0"/>
    </xf>
    <xf numFmtId="0" fontId="32" fillId="6" borderId="0" applyNumberFormat="0" applyBorder="0" applyAlignment="0" applyProtection="0"/>
    <xf numFmtId="41" fontId="0" fillId="0" borderId="0" applyFont="0" applyFill="0" applyBorder="0" applyAlignment="0" applyProtection="0"/>
    <xf numFmtId="0" fontId="15" fillId="7" borderId="0" applyNumberFormat="0" applyBorder="0" applyAlignment="0" applyProtection="0"/>
    <xf numFmtId="0" fontId="47" fillId="0" borderId="0" applyNumberFormat="0" applyFill="0" applyBorder="0" applyAlignment="0" applyProtection="0"/>
    <xf numFmtId="0" fontId="37" fillId="8" borderId="0" applyNumberFormat="0" applyBorder="0" applyAlignment="0" applyProtection="0"/>
    <xf numFmtId="0" fontId="34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43" fillId="2" borderId="0" applyNumberFormat="0" applyBorder="0" applyAlignment="0" applyProtection="0"/>
    <xf numFmtId="0" fontId="32" fillId="6" borderId="0" applyNumberFormat="0" applyBorder="0" applyAlignment="0" applyProtection="0"/>
    <xf numFmtId="43" fontId="0" fillId="0" borderId="0" applyFont="0" applyFill="0" applyBorder="0" applyAlignment="0" applyProtection="0"/>
    <xf numFmtId="0" fontId="43" fillId="9" borderId="0" applyNumberFormat="0" applyBorder="0" applyAlignment="0" applyProtection="0"/>
    <xf numFmtId="0" fontId="31" fillId="8" borderId="0" applyNumberFormat="0" applyBorder="0" applyAlignment="0" applyProtection="0"/>
    <xf numFmtId="0" fontId="65" fillId="10" borderId="0" applyNumberFormat="0" applyBorder="0" applyAlignment="0" applyProtection="0"/>
    <xf numFmtId="0" fontId="50" fillId="0" borderId="0" applyNumberFormat="0" applyFill="0" applyBorder="0" applyAlignment="0" applyProtection="0"/>
    <xf numFmtId="0" fontId="33" fillId="3" borderId="0" applyNumberFormat="0" applyBorder="0" applyAlignment="0" applyProtection="0"/>
    <xf numFmtId="0" fontId="32" fillId="6" borderId="0" applyNumberFormat="0" applyBorder="0" applyAlignment="0" applyProtection="0"/>
    <xf numFmtId="9" fontId="0" fillId="0" borderId="0" applyFont="0" applyFill="0" applyBorder="0" applyAlignment="0" applyProtection="0"/>
    <xf numFmtId="0" fontId="32" fillId="3" borderId="0" applyNumberFormat="0" applyBorder="0" applyAlignment="0" applyProtection="0"/>
    <xf numFmtId="0" fontId="43" fillId="9" borderId="0" applyNumberFormat="0" applyBorder="0" applyAlignment="0" applyProtection="0"/>
    <xf numFmtId="0" fontId="62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78" fillId="0" borderId="0">
      <alignment/>
      <protection/>
    </xf>
    <xf numFmtId="0" fontId="53" fillId="11" borderId="0" applyNumberFormat="0" applyBorder="0" applyAlignment="0" applyProtection="0"/>
    <xf numFmtId="0" fontId="0" fillId="4" borderId="2" applyNumberFormat="0" applyFont="0" applyAlignment="0" applyProtection="0"/>
    <xf numFmtId="0" fontId="31" fillId="12" borderId="0" applyNumberFormat="0" applyBorder="0" applyAlignment="0" applyProtection="0"/>
    <xf numFmtId="0" fontId="34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4" fillId="6" borderId="0" applyNumberFormat="0" applyBorder="0" applyAlignment="0" applyProtection="0"/>
    <xf numFmtId="0" fontId="44" fillId="2" borderId="0" applyNumberFormat="0" applyBorder="0" applyAlignment="0" applyProtection="0"/>
    <xf numFmtId="43" fontId="1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32" fillId="6" borderId="0" applyNumberFormat="0" applyBorder="0" applyAlignment="0" applyProtection="0"/>
    <xf numFmtId="0" fontId="38" fillId="0" borderId="4" applyNumberFormat="0" applyFill="0" applyAlignment="0" applyProtection="0"/>
    <xf numFmtId="0" fontId="78" fillId="0" borderId="0">
      <alignment/>
      <protection/>
    </xf>
    <xf numFmtId="0" fontId="55" fillId="9" borderId="0" applyNumberFormat="0" applyBorder="0" applyAlignment="0" applyProtection="0"/>
    <xf numFmtId="0" fontId="34" fillId="6" borderId="0" applyNumberFormat="0" applyBorder="0" applyAlignment="0" applyProtection="0"/>
    <xf numFmtId="0" fontId="31" fillId="13" borderId="0" applyNumberFormat="0" applyBorder="0" applyAlignment="0" applyProtection="0"/>
    <xf numFmtId="0" fontId="32" fillId="6" borderId="0" applyNumberFormat="0" applyBorder="0" applyAlignment="0" applyProtection="0"/>
    <xf numFmtId="0" fontId="48" fillId="0" borderId="5" applyNumberFormat="0" applyFill="0" applyAlignment="0" applyProtection="0"/>
    <xf numFmtId="0" fontId="43" fillId="9" borderId="0" applyNumberFormat="0" applyBorder="0" applyAlignment="0" applyProtection="0"/>
    <xf numFmtId="0" fontId="31" fillId="14" borderId="0" applyNumberFormat="0" applyBorder="0" applyAlignment="0" applyProtection="0"/>
    <xf numFmtId="0" fontId="51" fillId="2" borderId="0" applyNumberFormat="0" applyBorder="0" applyAlignment="0" applyProtection="0"/>
    <xf numFmtId="0" fontId="81" fillId="15" borderId="6" applyNumberFormat="0" applyAlignment="0" applyProtection="0"/>
    <xf numFmtId="0" fontId="69" fillId="5" borderId="1" applyNumberFormat="0" applyAlignment="0" applyProtection="0"/>
    <xf numFmtId="0" fontId="82" fillId="15" borderId="1" applyNumberFormat="0" applyAlignment="0" applyProtection="0"/>
    <xf numFmtId="0" fontId="46" fillId="3" borderId="0" applyNumberFormat="0" applyBorder="0" applyAlignment="0" applyProtection="0"/>
    <xf numFmtId="0" fontId="43" fillId="9" borderId="0" applyNumberFormat="0" applyBorder="0" applyAlignment="0" applyProtection="0"/>
    <xf numFmtId="0" fontId="32" fillId="3" borderId="0" applyNumberFormat="0" applyBorder="0" applyAlignment="0" applyProtection="0"/>
    <xf numFmtId="0" fontId="47" fillId="0" borderId="0">
      <alignment vertical="top"/>
      <protection/>
    </xf>
    <xf numFmtId="0" fontId="40" fillId="16" borderId="7" applyNumberFormat="0" applyAlignment="0" applyProtection="0"/>
    <xf numFmtId="0" fontId="37" fillId="5" borderId="0" applyNumberFormat="0" applyBorder="0" applyAlignment="0" applyProtection="0"/>
    <xf numFmtId="177" fontId="10" fillId="0" borderId="0" applyFont="0" applyFill="0" applyBorder="0" applyAlignment="0" applyProtection="0"/>
    <xf numFmtId="0" fontId="31" fillId="17" borderId="0" applyNumberFormat="0" applyBorder="0" applyAlignment="0" applyProtection="0"/>
    <xf numFmtId="0" fontId="83" fillId="0" borderId="8" applyNumberFormat="0" applyFill="0" applyAlignment="0" applyProtection="0"/>
    <xf numFmtId="0" fontId="43" fillId="9" borderId="0" applyNumberFormat="0" applyBorder="0" applyAlignment="0" applyProtection="0"/>
    <xf numFmtId="0" fontId="47" fillId="0" borderId="0">
      <alignment vertical="top"/>
      <protection/>
    </xf>
    <xf numFmtId="0" fontId="35" fillId="3" borderId="0" applyNumberFormat="0" applyBorder="0" applyAlignment="0" applyProtection="0"/>
    <xf numFmtId="0" fontId="84" fillId="0" borderId="9" applyNumberFormat="0" applyFill="0" applyAlignment="0" applyProtection="0"/>
    <xf numFmtId="0" fontId="0" fillId="0" borderId="0">
      <alignment/>
      <protection/>
    </xf>
    <xf numFmtId="0" fontId="32" fillId="6" borderId="0" applyNumberFormat="0" applyBorder="0" applyAlignment="0" applyProtection="0"/>
    <xf numFmtId="0" fontId="43" fillId="9" borderId="0" applyNumberFormat="0" applyBorder="0" applyAlignment="0" applyProtection="0"/>
    <xf numFmtId="0" fontId="70" fillId="0" borderId="10" applyNumberFormat="0" applyFill="0" applyAlignment="0" applyProtection="0"/>
    <xf numFmtId="49" fontId="10" fillId="0" borderId="0" applyFont="0" applyFill="0" applyBorder="0" applyAlignment="0" applyProtection="0"/>
    <xf numFmtId="0" fontId="74" fillId="8" borderId="0" applyNumberFormat="0" applyBorder="0" applyAlignment="0" applyProtection="0"/>
    <xf numFmtId="0" fontId="34" fillId="6" borderId="0" applyNumberFormat="0" applyBorder="0" applyAlignment="0" applyProtection="0"/>
    <xf numFmtId="0" fontId="32" fillId="6" borderId="0" applyNumberFormat="0" applyBorder="0" applyAlignment="0" applyProtection="0"/>
    <xf numFmtId="0" fontId="37" fillId="2" borderId="0" applyNumberFormat="0" applyBorder="0" applyAlignment="0" applyProtection="0"/>
    <xf numFmtId="0" fontId="34" fillId="6" borderId="0" applyNumberFormat="0" applyBorder="0" applyAlignment="0" applyProtection="0"/>
    <xf numFmtId="0" fontId="32" fillId="6" borderId="0" applyNumberFormat="0" applyBorder="0" applyAlignment="0" applyProtection="0"/>
    <xf numFmtId="0" fontId="31" fillId="13" borderId="0" applyNumberFormat="0" applyBorder="0" applyAlignment="0" applyProtection="0"/>
    <xf numFmtId="0" fontId="37" fillId="15" borderId="0" applyNumberFormat="0" applyBorder="0" applyAlignment="0" applyProtection="0"/>
    <xf numFmtId="0" fontId="47" fillId="0" borderId="0">
      <alignment vertical="top"/>
      <protection/>
    </xf>
    <xf numFmtId="0" fontId="47" fillId="0" borderId="0" applyNumberFormat="0" applyFill="0" applyBorder="0" applyAlignment="0" applyProtection="0"/>
    <xf numFmtId="0" fontId="34" fillId="6" borderId="0" applyNumberFormat="0" applyBorder="0" applyAlignment="0" applyProtection="0"/>
    <xf numFmtId="0" fontId="55" fillId="9" borderId="0" applyNumberFormat="0" applyBorder="0" applyAlignment="0" applyProtection="0"/>
    <xf numFmtId="0" fontId="53" fillId="18" borderId="0" applyNumberFormat="0" applyBorder="0" applyAlignment="0" applyProtection="0"/>
    <xf numFmtId="0" fontId="32" fillId="6" borderId="0" applyNumberFormat="0" applyBorder="0" applyAlignment="0" applyProtection="0"/>
    <xf numFmtId="0" fontId="37" fillId="14" borderId="0" applyNumberFormat="0" applyBorder="0" applyAlignment="0" applyProtection="0"/>
    <xf numFmtId="0" fontId="55" fillId="9" borderId="0" applyNumberFormat="0" applyBorder="0" applyAlignment="0" applyProtection="0"/>
    <xf numFmtId="0" fontId="37" fillId="5" borderId="0" applyNumberFormat="0" applyBorder="0" applyAlignment="0" applyProtection="0"/>
    <xf numFmtId="0" fontId="47" fillId="0" borderId="0" applyNumberFormat="0" applyFill="0" applyBorder="0" applyAlignment="0" applyProtection="0"/>
    <xf numFmtId="0" fontId="34" fillId="6" borderId="0" applyNumberFormat="0" applyBorder="0" applyAlignment="0" applyProtection="0"/>
    <xf numFmtId="0" fontId="37" fillId="4" borderId="0" applyNumberFormat="0" applyBorder="0" applyAlignment="0" applyProtection="0"/>
    <xf numFmtId="0" fontId="37" fillId="12" borderId="0" applyNumberFormat="0" applyBorder="0" applyAlignment="0" applyProtection="0"/>
    <xf numFmtId="0" fontId="47" fillId="0" borderId="0">
      <alignment vertical="top"/>
      <protection/>
    </xf>
    <xf numFmtId="0" fontId="0" fillId="0" borderId="0">
      <alignment/>
      <protection locked="0"/>
    </xf>
    <xf numFmtId="0" fontId="34" fillId="6" borderId="0" applyNumberFormat="0" applyBorder="0" applyAlignment="0" applyProtection="0"/>
    <xf numFmtId="0" fontId="31" fillId="18" borderId="0" applyNumberFormat="0" applyBorder="0" applyAlignment="0" applyProtection="0"/>
    <xf numFmtId="0" fontId="32" fillId="6" borderId="0" applyNumberFormat="0" applyBorder="0" applyAlignment="0" applyProtection="0"/>
    <xf numFmtId="0" fontId="58" fillId="0" borderId="0" applyNumberFormat="0" applyFont="0" applyFill="0" applyBorder="0" applyAlignment="0" applyProtection="0"/>
    <xf numFmtId="0" fontId="31" fillId="19" borderId="0" applyNumberFormat="0" applyBorder="0" applyAlignment="0" applyProtection="0"/>
    <xf numFmtId="0" fontId="34" fillId="6" borderId="0" applyNumberFormat="0" applyBorder="0" applyAlignment="0" applyProtection="0"/>
    <xf numFmtId="0" fontId="32" fillId="6" borderId="0" applyNumberFormat="0" applyBorder="0" applyAlignment="0" applyProtection="0"/>
    <xf numFmtId="0" fontId="37" fillId="15" borderId="0" applyNumberFormat="0" applyBorder="0" applyAlignment="0" applyProtection="0"/>
    <xf numFmtId="0" fontId="34" fillId="6" borderId="0" applyNumberFormat="0" applyBorder="0" applyAlignment="0" applyProtection="0"/>
    <xf numFmtId="0" fontId="37" fillId="14" borderId="0" applyNumberFormat="0" applyBorder="0" applyAlignment="0" applyProtection="0"/>
    <xf numFmtId="0" fontId="32" fillId="6" borderId="0" applyNumberFormat="0" applyBorder="0" applyAlignment="0" applyProtection="0"/>
    <xf numFmtId="0" fontId="31" fillId="13" borderId="0" applyNumberFormat="0" applyBorder="0" applyAlignment="0" applyProtection="0"/>
    <xf numFmtId="0" fontId="37" fillId="20" borderId="0" applyNumberFormat="0" applyBorder="0" applyAlignment="0" applyProtection="0"/>
    <xf numFmtId="0" fontId="35" fillId="3" borderId="0" applyNumberFormat="0" applyBorder="0" applyAlignment="0" applyProtection="0"/>
    <xf numFmtId="0" fontId="31" fillId="13" borderId="0" applyNumberFormat="0" applyBorder="0" applyAlignment="0" applyProtection="0"/>
    <xf numFmtId="0" fontId="31" fillId="21" borderId="0" applyNumberFormat="0" applyBorder="0" applyAlignment="0" applyProtection="0"/>
    <xf numFmtId="0" fontId="43" fillId="9" borderId="0" applyNumberFormat="0" applyBorder="0" applyAlignment="0" applyProtection="0"/>
    <xf numFmtId="0" fontId="31" fillId="8" borderId="0" applyNumberFormat="0" applyBorder="0" applyAlignment="0" applyProtection="0"/>
    <xf numFmtId="0" fontId="55" fillId="9" borderId="0" applyNumberFormat="0" applyBorder="0" applyAlignment="0" applyProtection="0"/>
    <xf numFmtId="0" fontId="19" fillId="0" borderId="0">
      <alignment/>
      <protection/>
    </xf>
    <xf numFmtId="0" fontId="10" fillId="0" borderId="0">
      <alignment/>
      <protection/>
    </xf>
    <xf numFmtId="0" fontId="37" fillId="5" borderId="0" applyNumberFormat="0" applyBorder="0" applyAlignment="0" applyProtection="0"/>
    <xf numFmtId="0" fontId="43" fillId="22" borderId="0" applyNumberFormat="0" applyBorder="0" applyAlignment="0" applyProtection="0"/>
    <xf numFmtId="0" fontId="35" fillId="3" borderId="0" applyNumberFormat="0" applyBorder="0" applyAlignment="0" applyProtection="0"/>
    <xf numFmtId="0" fontId="55" fillId="9" borderId="0" applyNumberFormat="0" applyBorder="0" applyAlignment="0" applyProtection="0"/>
    <xf numFmtId="0" fontId="46" fillId="23" borderId="0" applyNumberFormat="0" applyBorder="0" applyAlignment="0" applyProtection="0"/>
    <xf numFmtId="0" fontId="10" fillId="0" borderId="0">
      <alignment/>
      <protection/>
    </xf>
    <xf numFmtId="0" fontId="31" fillId="5" borderId="0" applyNumberFormat="0" applyBorder="0" applyAlignment="0" applyProtection="0"/>
    <xf numFmtId="0" fontId="93" fillId="0" borderId="0" applyNumberFormat="0" applyFill="0" applyBorder="0" applyAlignment="0" applyProtection="0"/>
    <xf numFmtId="0" fontId="32" fillId="6" borderId="0" applyNumberFormat="0" applyBorder="0" applyAlignment="0" applyProtection="0"/>
    <xf numFmtId="0" fontId="32" fillId="3" borderId="0" applyNumberFormat="0" applyBorder="0" applyAlignment="0" applyProtection="0"/>
    <xf numFmtId="0" fontId="43" fillId="9" borderId="0" applyNumberFormat="0" applyBorder="0" applyAlignment="0" applyProtection="0"/>
    <xf numFmtId="9" fontId="0" fillId="0" borderId="0" applyFont="0" applyFill="0" applyBorder="0" applyAlignment="0" applyProtection="0"/>
    <xf numFmtId="181" fontId="10" fillId="0" borderId="0" applyFont="0" applyFill="0" applyBorder="0" applyAlignment="0" applyProtection="0"/>
    <xf numFmtId="0" fontId="19" fillId="0" borderId="0">
      <alignment/>
      <protection/>
    </xf>
    <xf numFmtId="0" fontId="53" fillId="17" borderId="0" applyNumberFormat="0" applyBorder="0" applyAlignment="0" applyProtection="0"/>
    <xf numFmtId="0" fontId="47" fillId="0" borderId="0">
      <alignment vertical="top"/>
      <protection/>
    </xf>
    <xf numFmtId="0" fontId="15" fillId="24" borderId="0" applyNumberFormat="0" applyBorder="0" applyAlignment="0" applyProtection="0"/>
    <xf numFmtId="0" fontId="78" fillId="0" borderId="0">
      <alignment/>
      <protection/>
    </xf>
    <xf numFmtId="0" fontId="47" fillId="0" borderId="0">
      <alignment vertical="top"/>
      <protection/>
    </xf>
    <xf numFmtId="0" fontId="34" fillId="6" borderId="0" applyNumberFormat="0" applyBorder="0" applyAlignment="0" applyProtection="0"/>
    <xf numFmtId="0" fontId="10" fillId="0" borderId="0" applyNumberFormat="0" applyFill="0" applyBorder="0" applyAlignment="0" applyProtection="0"/>
    <xf numFmtId="0" fontId="47" fillId="0" borderId="0">
      <alignment vertical="top"/>
      <protection/>
    </xf>
    <xf numFmtId="0" fontId="32" fillId="6" borderId="0" applyNumberFormat="0" applyBorder="0" applyAlignment="0" applyProtection="0"/>
    <xf numFmtId="0" fontId="15" fillId="25" borderId="0" applyNumberFormat="0" applyBorder="0" applyAlignment="0" applyProtection="0"/>
    <xf numFmtId="0" fontId="35" fillId="3" borderId="0" applyNumberFormat="0" applyBorder="0" applyAlignment="0" applyProtection="0"/>
    <xf numFmtId="0" fontId="47" fillId="0" borderId="0">
      <alignment vertical="top"/>
      <protection/>
    </xf>
    <xf numFmtId="0" fontId="100" fillId="0" borderId="11" applyNumberFormat="0" applyFill="0" applyAlignment="0" applyProtection="0"/>
    <xf numFmtId="0" fontId="47" fillId="0" borderId="0">
      <alignment vertical="top"/>
      <protection/>
    </xf>
    <xf numFmtId="0" fontId="101" fillId="0" borderId="4" applyNumberFormat="0" applyFill="0" applyAlignment="0" applyProtection="0"/>
    <xf numFmtId="0" fontId="32" fillId="6" borderId="0" applyNumberFormat="0" applyBorder="0" applyAlignment="0" applyProtection="0"/>
    <xf numFmtId="0" fontId="46" fillId="9" borderId="0" applyNumberFormat="0" applyBorder="0" applyAlignment="0" applyProtection="0"/>
    <xf numFmtId="0" fontId="102" fillId="0" borderId="0">
      <alignment/>
      <protection/>
    </xf>
    <xf numFmtId="0" fontId="47" fillId="0" borderId="0">
      <alignment vertical="top"/>
      <protection/>
    </xf>
    <xf numFmtId="0" fontId="32" fillId="6" borderId="0" applyNumberFormat="0" applyBorder="0" applyAlignment="0" applyProtection="0"/>
    <xf numFmtId="0" fontId="43" fillId="9" borderId="0" applyNumberFormat="0" applyBorder="0" applyAlignment="0" applyProtection="0"/>
    <xf numFmtId="0" fontId="47" fillId="0" borderId="0">
      <alignment vertical="top"/>
      <protection/>
    </xf>
    <xf numFmtId="4" fontId="58" fillId="0" borderId="0" applyFont="0" applyFill="0" applyBorder="0" applyAlignment="0" applyProtection="0"/>
    <xf numFmtId="0" fontId="31" fillId="13" borderId="0" applyNumberFormat="0" applyBorder="0" applyAlignment="0" applyProtection="0"/>
    <xf numFmtId="0" fontId="47" fillId="0" borderId="0">
      <alignment vertical="top"/>
      <protection/>
    </xf>
    <xf numFmtId="0" fontId="47" fillId="0" borderId="0">
      <alignment vertical="top"/>
      <protection/>
    </xf>
    <xf numFmtId="0" fontId="32" fillId="6" borderId="0" applyNumberFormat="0" applyBorder="0" applyAlignment="0" applyProtection="0"/>
    <xf numFmtId="0" fontId="47" fillId="0" borderId="0">
      <alignment vertical="top"/>
      <protection/>
    </xf>
    <xf numFmtId="0" fontId="47" fillId="0" borderId="0" applyNumberFormat="0" applyFill="0" applyBorder="0" applyAlignment="0" applyProtection="0"/>
    <xf numFmtId="0" fontId="47" fillId="0" borderId="0">
      <alignment vertical="top"/>
      <protection/>
    </xf>
    <xf numFmtId="0" fontId="47" fillId="0" borderId="0">
      <alignment vertical="top"/>
      <protection/>
    </xf>
    <xf numFmtId="0" fontId="47" fillId="0" borderId="0">
      <alignment vertical="top"/>
      <protection/>
    </xf>
    <xf numFmtId="0" fontId="10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>
      <alignment vertical="top"/>
      <protection/>
    </xf>
    <xf numFmtId="0" fontId="43" fillId="9" borderId="0" applyNumberFormat="0" applyBorder="0" applyAlignment="0" applyProtection="0"/>
    <xf numFmtId="0" fontId="47" fillId="0" borderId="0">
      <alignment vertical="top"/>
      <protection/>
    </xf>
    <xf numFmtId="0" fontId="15" fillId="25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78" fillId="0" borderId="0">
      <alignment/>
      <protection/>
    </xf>
    <xf numFmtId="0" fontId="32" fillId="3" borderId="0" applyNumberFormat="0" applyBorder="0" applyAlignment="0" applyProtection="0"/>
    <xf numFmtId="0" fontId="78" fillId="0" borderId="0">
      <alignment/>
      <protection/>
    </xf>
    <xf numFmtId="0" fontId="43" fillId="9" borderId="0" applyNumberFormat="0" applyBorder="0" applyAlignment="0" applyProtection="0"/>
    <xf numFmtId="0" fontId="19" fillId="0" borderId="0">
      <alignment/>
      <protection/>
    </xf>
    <xf numFmtId="0" fontId="43" fillId="2" borderId="0" applyNumberFormat="0" applyBorder="0" applyAlignment="0" applyProtection="0"/>
    <xf numFmtId="0" fontId="19" fillId="0" borderId="0">
      <alignment/>
      <protection/>
    </xf>
    <xf numFmtId="0" fontId="10" fillId="0" borderId="0" applyNumberFormat="0" applyFill="0" applyBorder="0" applyAlignment="0" applyProtection="0"/>
    <xf numFmtId="0" fontId="19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34" fillId="6" borderId="0" applyNumberFormat="0" applyBorder="0" applyAlignment="0" applyProtection="0"/>
    <xf numFmtId="0" fontId="32" fillId="6" borderId="0" applyNumberFormat="0" applyBorder="0" applyAlignment="0" applyProtection="0"/>
    <xf numFmtId="0" fontId="34" fillId="6" borderId="0" applyNumberFormat="0" applyBorder="0" applyAlignment="0" applyProtection="0"/>
    <xf numFmtId="0" fontId="15" fillId="26" borderId="0" applyNumberFormat="0" applyBorder="0" applyAlignment="0" applyProtection="0"/>
    <xf numFmtId="0" fontId="102" fillId="0" borderId="0">
      <alignment/>
      <protection/>
    </xf>
    <xf numFmtId="41" fontId="10" fillId="0" borderId="0" applyFont="0" applyFill="0" applyBorder="0" applyAlignment="0" applyProtection="0"/>
    <xf numFmtId="0" fontId="19" fillId="0" borderId="0">
      <alignment/>
      <protection/>
    </xf>
    <xf numFmtId="0" fontId="32" fillId="6" borderId="0" applyNumberFormat="0" applyBorder="0" applyAlignment="0" applyProtection="0"/>
    <xf numFmtId="0" fontId="19" fillId="0" borderId="0">
      <alignment/>
      <protection/>
    </xf>
    <xf numFmtId="0" fontId="10" fillId="0" borderId="0" applyNumberFormat="0" applyFill="0" applyBorder="0" applyAlignment="0" applyProtection="0"/>
    <xf numFmtId="0" fontId="33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37" fillId="5" borderId="0" applyNumberFormat="0" applyBorder="0" applyAlignment="0" applyProtection="0"/>
    <xf numFmtId="0" fontId="10" fillId="0" borderId="0" applyNumberFormat="0" applyFill="0" applyBorder="0" applyAlignment="0" applyProtection="0"/>
    <xf numFmtId="0" fontId="43" fillId="9" borderId="0" applyNumberFormat="0" applyBorder="0" applyAlignment="0" applyProtection="0"/>
    <xf numFmtId="0" fontId="71" fillId="14" borderId="6" applyNumberFormat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10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35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94" fillId="0" borderId="11" applyNumberFormat="0" applyFill="0" applyAlignment="0" applyProtection="0"/>
    <xf numFmtId="0" fontId="10" fillId="0" borderId="0" applyNumberFormat="0" applyFill="0" applyBorder="0" applyAlignment="0" applyProtection="0"/>
    <xf numFmtId="0" fontId="47" fillId="0" borderId="0">
      <alignment vertical="top"/>
      <protection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2" fillId="6" borderId="0" applyNumberFormat="0" applyBorder="0" applyAlignment="0" applyProtection="0"/>
    <xf numFmtId="0" fontId="47" fillId="0" borderId="0">
      <alignment vertical="top"/>
      <protection/>
    </xf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15" fillId="24" borderId="0" applyNumberFormat="0" applyBorder="0" applyAlignment="0" applyProtection="0"/>
    <xf numFmtId="0" fontId="47" fillId="0" borderId="0">
      <alignment vertical="top"/>
      <protection/>
    </xf>
    <xf numFmtId="0" fontId="43" fillId="2" borderId="0" applyNumberFormat="0" applyBorder="0" applyAlignment="0" applyProtection="0"/>
    <xf numFmtId="0" fontId="35" fillId="3" borderId="0" applyNumberFormat="0" applyBorder="0" applyAlignment="0" applyProtection="0"/>
    <xf numFmtId="0" fontId="47" fillId="0" borderId="0">
      <alignment vertical="top"/>
      <protection/>
    </xf>
    <xf numFmtId="0" fontId="0" fillId="0" borderId="0" applyNumberFormat="0" applyFill="0" applyBorder="0" applyAlignment="0" applyProtection="0"/>
    <xf numFmtId="0" fontId="77" fillId="9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45" fillId="27" borderId="0" applyNumberFormat="0" applyBorder="0" applyAlignment="0" applyProtection="0"/>
    <xf numFmtId="0" fontId="15" fillId="25" borderId="0" applyNumberFormat="0" applyBorder="0" applyAlignment="0" applyProtection="0"/>
    <xf numFmtId="0" fontId="45" fillId="6" borderId="0" applyNumberFormat="0" applyBorder="0" applyAlignment="0" applyProtection="0"/>
    <xf numFmtId="0" fontId="45" fillId="9" borderId="0" applyNumberFormat="0" applyBorder="0" applyAlignment="0" applyProtection="0"/>
    <xf numFmtId="0" fontId="32" fillId="6" borderId="0" applyNumberFormat="0" applyBorder="0" applyAlignment="0" applyProtection="0"/>
    <xf numFmtId="0" fontId="45" fillId="3" borderId="0" applyNumberFormat="0" applyBorder="0" applyAlignment="0" applyProtection="0"/>
    <xf numFmtId="0" fontId="37" fillId="8" borderId="0" applyNumberFormat="0" applyBorder="0" applyAlignment="0" applyProtection="0"/>
    <xf numFmtId="0" fontId="45" fillId="2" borderId="0" applyNumberFormat="0" applyBorder="0" applyAlignment="0" applyProtection="0"/>
    <xf numFmtId="0" fontId="43" fillId="9" borderId="0" applyNumberFormat="0" applyBorder="0" applyAlignment="0" applyProtection="0"/>
    <xf numFmtId="0" fontId="45" fillId="5" borderId="0" applyNumberFormat="0" applyBorder="0" applyAlignment="0" applyProtection="0"/>
    <xf numFmtId="0" fontId="46" fillId="27" borderId="0" applyNumberFormat="0" applyBorder="0" applyAlignment="0" applyProtection="0"/>
    <xf numFmtId="0" fontId="65" fillId="28" borderId="0" applyNumberFormat="0" applyBorder="0" applyAlignment="0" applyProtection="0"/>
    <xf numFmtId="0" fontId="10" fillId="0" borderId="0">
      <alignment/>
      <protection locked="0"/>
    </xf>
    <xf numFmtId="0" fontId="37" fillId="15" borderId="0" applyNumberFormat="0" applyBorder="0" applyAlignment="0" applyProtection="0"/>
    <xf numFmtId="0" fontId="43" fillId="9" borderId="0" applyNumberFormat="0" applyBorder="0" applyAlignment="0" applyProtection="0"/>
    <xf numFmtId="0" fontId="32" fillId="6" borderId="0" applyNumberFormat="0" applyBorder="0" applyAlignment="0" applyProtection="0"/>
    <xf numFmtId="0" fontId="46" fillId="6" borderId="0" applyNumberFormat="0" applyBorder="0" applyAlignment="0" applyProtection="0"/>
    <xf numFmtId="179" fontId="1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6" fillId="3" borderId="0" applyNumberFormat="0" applyBorder="0" applyAlignment="0" applyProtection="0"/>
    <xf numFmtId="0" fontId="37" fillId="15" borderId="0" applyNumberFormat="0" applyBorder="0" applyAlignment="0" applyProtection="0"/>
    <xf numFmtId="0" fontId="46" fillId="2" borderId="0" applyNumberFormat="0" applyBorder="0" applyAlignment="0" applyProtection="0"/>
    <xf numFmtId="0" fontId="32" fillId="3" borderId="0" applyNumberFormat="0" applyBorder="0" applyAlignment="0" applyProtection="0"/>
    <xf numFmtId="0" fontId="43" fillId="9" borderId="0" applyNumberFormat="0" applyBorder="0" applyAlignment="0" applyProtection="0"/>
    <xf numFmtId="0" fontId="37" fillId="2" borderId="0" applyNumberFormat="0" applyBorder="0" applyAlignment="0" applyProtection="0"/>
    <xf numFmtId="0" fontId="46" fillId="5" borderId="0" applyNumberFormat="0" applyBorder="0" applyAlignment="0" applyProtection="0"/>
    <xf numFmtId="0" fontId="35" fillId="3" borderId="0" applyNumberFormat="0" applyBorder="0" applyAlignment="0" applyProtection="0"/>
    <xf numFmtId="0" fontId="37" fillId="5" borderId="0" applyNumberFormat="0" applyBorder="0" applyAlignment="0" applyProtection="0"/>
    <xf numFmtId="0" fontId="45" fillId="20" borderId="0" applyNumberFormat="0" applyBorder="0" applyAlignment="0" applyProtection="0"/>
    <xf numFmtId="0" fontId="43" fillId="22" borderId="0" applyNumberFormat="0" applyBorder="0" applyAlignment="0" applyProtection="0"/>
    <xf numFmtId="0" fontId="45" fillId="12" borderId="0" applyNumberFormat="0" applyBorder="0" applyAlignment="0" applyProtection="0"/>
    <xf numFmtId="0" fontId="45" fillId="29" borderId="0" applyNumberFormat="0" applyBorder="0" applyAlignment="0" applyProtection="0"/>
    <xf numFmtId="0" fontId="55" fillId="9" borderId="0" applyNumberFormat="0" applyBorder="0" applyAlignment="0" applyProtection="0"/>
    <xf numFmtId="0" fontId="45" fillId="3" borderId="0" applyNumberFormat="0" applyBorder="0" applyAlignment="0" applyProtection="0"/>
    <xf numFmtId="187" fontId="85" fillId="0" borderId="0">
      <alignment/>
      <protection/>
    </xf>
    <xf numFmtId="3" fontId="68" fillId="0" borderId="0">
      <alignment/>
      <protection/>
    </xf>
    <xf numFmtId="0" fontId="113" fillId="0" borderId="0" applyNumberFormat="0" applyFill="0" applyBorder="0" applyAlignment="0" applyProtection="0"/>
    <xf numFmtId="0" fontId="55" fillId="9" borderId="0" applyNumberFormat="0" applyBorder="0" applyAlignment="0" applyProtection="0"/>
    <xf numFmtId="0" fontId="45" fillId="20" borderId="0" applyNumberFormat="0" applyBorder="0" applyAlignment="0" applyProtection="0"/>
    <xf numFmtId="0" fontId="45" fillId="23" borderId="0" applyNumberFormat="0" applyBorder="0" applyAlignment="0" applyProtection="0"/>
    <xf numFmtId="0" fontId="31" fillId="19" borderId="0" applyNumberFormat="0" applyBorder="0" applyAlignment="0" applyProtection="0"/>
    <xf numFmtId="0" fontId="35" fillId="3" borderId="0" applyNumberFormat="0" applyBorder="0" applyAlignment="0" applyProtection="0"/>
    <xf numFmtId="0" fontId="46" fillId="20" borderId="0" applyNumberFormat="0" applyBorder="0" applyAlignment="0" applyProtection="0"/>
    <xf numFmtId="0" fontId="79" fillId="30" borderId="0" applyNumberFormat="0" applyBorder="0" applyAlignment="0" applyProtection="0"/>
    <xf numFmtId="0" fontId="37" fillId="14" borderId="0" applyNumberFormat="0" applyBorder="0" applyAlignment="0" applyProtection="0"/>
    <xf numFmtId="0" fontId="46" fillId="12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37" fillId="12" borderId="0" applyNumberFormat="0" applyBorder="0" applyAlignment="0" applyProtection="0"/>
    <xf numFmtId="0" fontId="46" fillId="29" borderId="0" applyNumberFormat="0" applyBorder="0" applyAlignment="0" applyProtection="0"/>
    <xf numFmtId="0" fontId="37" fillId="14" borderId="0" applyNumberFormat="0" applyBorder="0" applyAlignment="0" applyProtection="0"/>
    <xf numFmtId="0" fontId="43" fillId="9" borderId="0" applyNumberFormat="0" applyBorder="0" applyAlignment="0" applyProtection="0"/>
    <xf numFmtId="0" fontId="32" fillId="6" borderId="0" applyNumberFormat="0" applyBorder="0" applyAlignment="0" applyProtection="0"/>
    <xf numFmtId="0" fontId="63" fillId="2" borderId="0" applyNumberFormat="0" applyBorder="0" applyAlignment="0" applyProtection="0"/>
    <xf numFmtId="0" fontId="55" fillId="9" borderId="0" applyNumberFormat="0" applyBorder="0" applyAlignment="0" applyProtection="0"/>
    <xf numFmtId="0" fontId="32" fillId="6" borderId="0" applyNumberFormat="0" applyBorder="0" applyAlignment="0" applyProtection="0"/>
    <xf numFmtId="0" fontId="46" fillId="20" borderId="0" applyNumberFormat="0" applyBorder="0" applyAlignment="0" applyProtection="0"/>
    <xf numFmtId="43" fontId="66" fillId="0" borderId="0" applyFont="0" applyFill="0" applyBorder="0" applyAlignment="0" applyProtection="0"/>
    <xf numFmtId="0" fontId="32" fillId="6" borderId="0" applyNumberFormat="0" applyBorder="0" applyAlignment="0" applyProtection="0"/>
    <xf numFmtId="0" fontId="37" fillId="20" borderId="0" applyNumberFormat="0" applyBorder="0" applyAlignment="0" applyProtection="0"/>
    <xf numFmtId="0" fontId="32" fillId="6" borderId="0" applyNumberFormat="0" applyBorder="0" applyAlignment="0" applyProtection="0"/>
    <xf numFmtId="0" fontId="37" fillId="5" borderId="0" applyNumberFormat="0" applyBorder="0" applyAlignment="0" applyProtection="0"/>
    <xf numFmtId="0" fontId="44" fillId="9" borderId="0" applyNumberFormat="0" applyBorder="0" applyAlignment="0" applyProtection="0"/>
    <xf numFmtId="0" fontId="32" fillId="6" borderId="0" applyNumberFormat="0" applyBorder="0" applyAlignment="0" applyProtection="0"/>
    <xf numFmtId="0" fontId="53" fillId="31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3" fillId="3" borderId="0" applyNumberFormat="0" applyBorder="0" applyAlignment="0" applyProtection="0"/>
    <xf numFmtId="0" fontId="44" fillId="2" borderId="0" applyNumberFormat="0" applyBorder="0" applyAlignment="0" applyProtection="0"/>
    <xf numFmtId="0" fontId="114" fillId="0" borderId="12" applyNumberFormat="0" applyFill="0" applyProtection="0">
      <alignment horizontal="center"/>
    </xf>
    <xf numFmtId="0" fontId="53" fillId="12" borderId="0" applyNumberFormat="0" applyBorder="0" applyAlignment="0" applyProtection="0"/>
    <xf numFmtId="0" fontId="53" fillId="29" borderId="0" applyNumberFormat="0" applyBorder="0" applyAlignment="0" applyProtection="0"/>
    <xf numFmtId="3" fontId="58" fillId="0" borderId="0" applyFont="0" applyFill="0" applyBorder="0" applyAlignment="0" applyProtection="0"/>
    <xf numFmtId="0" fontId="53" fillId="32" borderId="0" applyNumberFormat="0" applyBorder="0" applyAlignment="0" applyProtection="0"/>
    <xf numFmtId="14" fontId="52" fillId="0" borderId="0">
      <alignment horizontal="center" wrapText="1"/>
      <protection locked="0"/>
    </xf>
    <xf numFmtId="0" fontId="64" fillId="0" borderId="0" applyNumberFormat="0" applyFill="0" applyBorder="0" applyAlignment="0" applyProtection="0"/>
    <xf numFmtId="0" fontId="79" fillId="32" borderId="0" applyNumberFormat="0" applyBorder="0" applyAlignment="0" applyProtection="0"/>
    <xf numFmtId="0" fontId="53" fillId="13" borderId="0" applyNumberFormat="0" applyBorder="0" applyAlignment="0" applyProtection="0"/>
    <xf numFmtId="0" fontId="53" fillId="30" borderId="0" applyNumberFormat="0" applyBorder="0" applyAlignment="0" applyProtection="0"/>
    <xf numFmtId="0" fontId="32" fillId="6" borderId="0" applyNumberFormat="0" applyBorder="0" applyAlignment="0" applyProtection="0"/>
    <xf numFmtId="0" fontId="55" fillId="9" borderId="0" applyNumberFormat="0" applyBorder="0" applyAlignment="0" applyProtection="0"/>
    <xf numFmtId="0" fontId="107" fillId="33" borderId="13">
      <alignment/>
      <protection locked="0"/>
    </xf>
    <xf numFmtId="0" fontId="70" fillId="0" borderId="0" applyNumberFormat="0" applyFill="0" applyBorder="0" applyAlignment="0" applyProtection="0"/>
    <xf numFmtId="0" fontId="79" fillId="31" borderId="0" applyNumberFormat="0" applyBorder="0" applyAlignment="0" applyProtection="0"/>
    <xf numFmtId="0" fontId="47" fillId="0" borderId="0" applyNumberFormat="0" applyFill="0" applyBorder="0" applyAlignment="0" applyProtection="0"/>
    <xf numFmtId="0" fontId="79" fillId="12" borderId="0" applyNumberFormat="0" applyBorder="0" applyAlignment="0" applyProtection="0"/>
    <xf numFmtId="0" fontId="31" fillId="12" borderId="0" applyNumberFormat="0" applyBorder="0" applyAlignment="0" applyProtection="0"/>
    <xf numFmtId="0" fontId="39" fillId="3" borderId="0" applyNumberFormat="0" applyBorder="0" applyAlignment="0" applyProtection="0"/>
    <xf numFmtId="0" fontId="79" fillId="29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90" fillId="8" borderId="0" applyNumberFormat="0" applyBorder="0" applyAlignment="0" applyProtection="0"/>
    <xf numFmtId="0" fontId="32" fillId="6" borderId="0" applyNumberFormat="0" applyBorder="0" applyAlignment="0" applyProtection="0"/>
    <xf numFmtId="0" fontId="79" fillId="32" borderId="0" applyNumberFormat="0" applyBorder="0" applyAlignment="0" applyProtection="0"/>
    <xf numFmtId="0" fontId="31" fillId="14" borderId="0" applyNumberFormat="0" applyBorder="0" applyAlignment="0" applyProtection="0"/>
    <xf numFmtId="0" fontId="79" fillId="13" borderId="0" applyNumberFormat="0" applyBorder="0" applyAlignment="0" applyProtection="0"/>
    <xf numFmtId="0" fontId="97" fillId="0" borderId="14">
      <alignment horizontal="center"/>
      <protection/>
    </xf>
    <xf numFmtId="0" fontId="32" fillId="6" borderId="0" applyNumberFormat="0" applyBorder="0" applyAlignment="0" applyProtection="0"/>
    <xf numFmtId="0" fontId="69" fillId="5" borderId="1" applyNumberFormat="0" applyAlignment="0" applyProtection="0"/>
    <xf numFmtId="0" fontId="88" fillId="14" borderId="1" applyNumberFormat="0" applyAlignment="0" applyProtection="0"/>
    <xf numFmtId="0" fontId="31" fillId="13" borderId="0" applyNumberFormat="0" applyBorder="0" applyAlignment="0" applyProtection="0"/>
    <xf numFmtId="0" fontId="31" fillId="5" borderId="0" applyNumberFormat="0" applyBorder="0" applyAlignment="0" applyProtection="0"/>
    <xf numFmtId="0" fontId="32" fillId="3" borderId="0" applyNumberFormat="0" applyBorder="0" applyAlignment="0" applyProtection="0"/>
    <xf numFmtId="0" fontId="19" fillId="0" borderId="0">
      <alignment/>
      <protection locked="0"/>
    </xf>
    <xf numFmtId="0" fontId="53" fillId="11" borderId="0" applyNumberFormat="0" applyBorder="0" applyAlignment="0" applyProtection="0"/>
    <xf numFmtId="0" fontId="65" fillId="28" borderId="0" applyNumberFormat="0" applyBorder="0" applyAlignment="0" applyProtection="0"/>
    <xf numFmtId="0" fontId="32" fillId="6" borderId="0" applyNumberFormat="0" applyBorder="0" applyAlignment="0" applyProtection="0"/>
    <xf numFmtId="0" fontId="35" fillId="3" borderId="0" applyNumberFormat="0" applyBorder="0" applyAlignment="0" applyProtection="0"/>
    <xf numFmtId="0" fontId="53" fillId="17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53" fillId="18" borderId="0" applyNumberFormat="0" applyBorder="0" applyAlignment="0" applyProtection="0"/>
    <xf numFmtId="0" fontId="32" fillId="6" borderId="0" applyNumberFormat="0" applyBorder="0" applyAlignment="0" applyProtection="0"/>
    <xf numFmtId="0" fontId="51" fillId="2" borderId="0" applyNumberFormat="0" applyBorder="0" applyAlignment="0" applyProtection="0"/>
    <xf numFmtId="0" fontId="10" fillId="0" borderId="0" applyFont="0" applyFill="0" applyBorder="0" applyAlignment="0" applyProtection="0"/>
    <xf numFmtId="0" fontId="15" fillId="24" borderId="0" applyNumberFormat="0" applyBorder="0" applyAlignment="0" applyProtection="0"/>
    <xf numFmtId="196" fontId="10" fillId="0" borderId="0" applyFont="0" applyFill="0" applyBorder="0" applyAlignment="0" applyProtection="0"/>
    <xf numFmtId="0" fontId="15" fillId="34" borderId="0" applyNumberFormat="0" applyBorder="0" applyAlignment="0" applyProtection="0"/>
    <xf numFmtId="0" fontId="43" fillId="9" borderId="0" applyNumberFormat="0" applyBorder="0" applyAlignment="0" applyProtection="0"/>
    <xf numFmtId="0" fontId="65" fillId="7" borderId="0" applyNumberFormat="0" applyBorder="0" applyAlignment="0" applyProtection="0"/>
    <xf numFmtId="0" fontId="10" fillId="0" borderId="0">
      <alignment/>
      <protection/>
    </xf>
    <xf numFmtId="190" fontId="97" fillId="0" borderId="15" applyAlignment="0" applyProtection="0"/>
    <xf numFmtId="0" fontId="53" fillId="32" borderId="0" applyNumberFormat="0" applyBorder="0" applyAlignment="0" applyProtection="0"/>
    <xf numFmtId="0" fontId="15" fillId="25" borderId="0" applyNumberFormat="0" applyBorder="0" applyAlignment="0" applyProtection="0"/>
    <xf numFmtId="0" fontId="15" fillId="7" borderId="0" applyNumberFormat="0" applyBorder="0" applyAlignment="0" applyProtection="0"/>
    <xf numFmtId="0" fontId="43" fillId="9" borderId="0" applyNumberFormat="0" applyBorder="0" applyAlignment="0" applyProtection="0"/>
    <xf numFmtId="0" fontId="35" fillId="3" borderId="0" applyNumberFormat="0" applyBorder="0" applyAlignment="0" applyProtection="0"/>
    <xf numFmtId="0" fontId="65" fillId="7" borderId="0" applyNumberFormat="0" applyBorder="0" applyAlignment="0" applyProtection="0"/>
    <xf numFmtId="189" fontId="10" fillId="0" borderId="0" applyFont="0" applyFill="0" applyBorder="0" applyAlignment="0" applyProtection="0"/>
    <xf numFmtId="0" fontId="43" fillId="9" borderId="0" applyNumberFormat="0" applyBorder="0" applyAlignment="0" applyProtection="0"/>
    <xf numFmtId="0" fontId="32" fillId="6" borderId="0" applyNumberFormat="0" applyBorder="0" applyAlignment="0" applyProtection="0"/>
    <xf numFmtId="0" fontId="55" fillId="9" borderId="0" applyNumberFormat="0" applyBorder="0" applyAlignment="0" applyProtection="0"/>
    <xf numFmtId="0" fontId="53" fillId="32" borderId="0" applyNumberFormat="0" applyBorder="0" applyAlignment="0" applyProtection="0"/>
    <xf numFmtId="0" fontId="53" fillId="13" borderId="0" applyNumberFormat="0" applyBorder="0" applyAlignment="0" applyProtection="0"/>
    <xf numFmtId="0" fontId="53" fillId="13" borderId="0" applyNumberFormat="0" applyBorder="0" applyAlignment="0" applyProtection="0"/>
    <xf numFmtId="0" fontId="53" fillId="21" borderId="0" applyNumberFormat="0" applyBorder="0" applyAlignment="0" applyProtection="0"/>
    <xf numFmtId="0" fontId="15" fillId="35" borderId="0" applyNumberFormat="0" applyBorder="0" applyAlignment="0" applyProtection="0"/>
    <xf numFmtId="0" fontId="65" fillId="35" borderId="0" applyNumberFormat="0" applyBorder="0" applyAlignment="0" applyProtection="0"/>
    <xf numFmtId="0" fontId="35" fillId="3" borderId="0" applyNumberFormat="0" applyBorder="0" applyAlignment="0" applyProtection="0"/>
    <xf numFmtId="0" fontId="103" fillId="0" borderId="11" applyNumberFormat="0" applyFill="0" applyAlignment="0" applyProtection="0"/>
    <xf numFmtId="0" fontId="43" fillId="9" borderId="0" applyNumberFormat="0" applyBorder="0" applyAlignment="0" applyProtection="0"/>
    <xf numFmtId="0" fontId="53" fillId="21" borderId="0" applyNumberFormat="0" applyBorder="0" applyAlignment="0" applyProtection="0"/>
    <xf numFmtId="0" fontId="56" fillId="6" borderId="0" applyNumberFormat="0" applyBorder="0" applyAlignment="0" applyProtection="0"/>
    <xf numFmtId="0" fontId="43" fillId="2" borderId="0" applyNumberFormat="0" applyBorder="0" applyAlignment="0" applyProtection="0"/>
    <xf numFmtId="199" fontId="47" fillId="0" borderId="0" applyFill="0" applyBorder="0" applyAlignment="0">
      <protection/>
    </xf>
    <xf numFmtId="0" fontId="104" fillId="16" borderId="7" applyNumberFormat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55" fillId="9" borderId="0" applyNumberFormat="0" applyBorder="0" applyAlignment="0" applyProtection="0"/>
    <xf numFmtId="0" fontId="80" fillId="0" borderId="16">
      <alignment horizontal="center"/>
      <protection/>
    </xf>
    <xf numFmtId="0" fontId="86" fillId="0" borderId="4" applyNumberFormat="0" applyFill="0" applyAlignment="0" applyProtection="0"/>
    <xf numFmtId="38" fontId="54" fillId="14" borderId="0" applyNumberFormat="0" applyBorder="0" applyAlignment="0" applyProtection="0"/>
    <xf numFmtId="0" fontId="63" fillId="2" borderId="0" applyNumberFormat="0" applyBorder="0" applyAlignment="0" applyProtection="0"/>
    <xf numFmtId="41" fontId="1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6" borderId="0" applyNumberFormat="0" applyBorder="0" applyAlignment="0" applyProtection="0"/>
    <xf numFmtId="43" fontId="66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51" fillId="34" borderId="0" applyNumberFormat="0" applyBorder="0" applyAlignment="0" applyProtection="0"/>
    <xf numFmtId="43" fontId="66" fillId="0" borderId="0" applyFont="0" applyFill="0" applyBorder="0" applyAlignment="0" applyProtection="0"/>
    <xf numFmtId="0" fontId="43" fillId="9" borderId="0" applyNumberFormat="0" applyBorder="0" applyAlignment="0" applyProtection="0"/>
    <xf numFmtId="0" fontId="32" fillId="6" borderId="0" applyNumberFormat="0" applyBorder="0" applyAlignment="0" applyProtection="0"/>
    <xf numFmtId="0" fontId="55" fillId="9" borderId="0" applyNumberFormat="0" applyBorder="0" applyAlignment="0" applyProtection="0"/>
    <xf numFmtId="0" fontId="106" fillId="0" borderId="0" applyNumberFormat="0" applyFill="0" applyBorder="0" applyAlignment="0" applyProtection="0"/>
    <xf numFmtId="194" fontId="10" fillId="0" borderId="0" applyFont="0" applyFill="0" applyProtection="0">
      <alignment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5" fillId="3" borderId="0" applyNumberFormat="0" applyBorder="0" applyAlignment="0" applyProtection="0"/>
    <xf numFmtId="0" fontId="118" fillId="0" borderId="0" applyFont="0" applyFill="0" applyBorder="0" applyAlignment="0" applyProtection="0"/>
    <xf numFmtId="180" fontId="66" fillId="0" borderId="0">
      <alignment/>
      <protection/>
    </xf>
    <xf numFmtId="0" fontId="32" fillId="3" borderId="0" applyNumberFormat="0" applyBorder="0" applyAlignment="0" applyProtection="0"/>
    <xf numFmtId="185" fontId="10" fillId="0" borderId="0" applyFont="0" applyFill="0" applyBorder="0" applyAlignment="0" applyProtection="0"/>
    <xf numFmtId="0" fontId="32" fillId="3" borderId="0" applyNumberFormat="0" applyBorder="0" applyAlignment="0" applyProtection="0"/>
    <xf numFmtId="176" fontId="10" fillId="0" borderId="0">
      <alignment/>
      <protection/>
    </xf>
    <xf numFmtId="191" fontId="66" fillId="0" borderId="0">
      <alignment/>
      <protection/>
    </xf>
    <xf numFmtId="0" fontId="112" fillId="0" borderId="0" applyProtection="0">
      <alignment/>
    </xf>
    <xf numFmtId="43" fontId="10" fillId="0" borderId="0" applyFont="0" applyFill="0" applyBorder="0" applyAlignment="0" applyProtection="0"/>
    <xf numFmtId="193" fontId="66" fillId="0" borderId="0">
      <alignment/>
      <protection/>
    </xf>
    <xf numFmtId="0" fontId="47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87" fillId="0" borderId="0" applyNumberFormat="0" applyFill="0" applyBorder="0" applyAlignment="0" applyProtection="0"/>
    <xf numFmtId="2" fontId="112" fillId="0" borderId="0" applyProtection="0">
      <alignment/>
    </xf>
    <xf numFmtId="0" fontId="92" fillId="0" borderId="0" applyNumberFormat="0" applyFill="0" applyBorder="0" applyAlignment="0" applyProtection="0"/>
    <xf numFmtId="0" fontId="0" fillId="0" borderId="0">
      <alignment/>
      <protection/>
    </xf>
    <xf numFmtId="0" fontId="67" fillId="0" borderId="17" applyNumberFormat="0" applyAlignment="0" applyProtection="0"/>
    <xf numFmtId="0" fontId="67" fillId="0" borderId="18">
      <alignment horizontal="left" vertical="center"/>
      <protection/>
    </xf>
    <xf numFmtId="0" fontId="55" fillId="9" borderId="0" applyNumberFormat="0" applyBorder="0" applyAlignment="0" applyProtection="0"/>
    <xf numFmtId="0" fontId="32" fillId="6" borderId="0" applyNumberFormat="0" applyBorder="0" applyAlignment="0" applyProtection="0"/>
    <xf numFmtId="0" fontId="99" fillId="0" borderId="0" applyProtection="0">
      <alignment/>
    </xf>
    <xf numFmtId="0" fontId="32" fillId="6" borderId="0" applyNumberFormat="0" applyBorder="0" applyAlignment="0" applyProtection="0"/>
    <xf numFmtId="0" fontId="67" fillId="0" borderId="0" applyProtection="0">
      <alignment/>
    </xf>
    <xf numFmtId="10" fontId="54" fillId="4" borderId="19" applyNumberFormat="0" applyBorder="0" applyAlignment="0" applyProtection="0"/>
    <xf numFmtId="0" fontId="32" fillId="3" borderId="0" applyNumberFormat="0" applyBorder="0" applyAlignment="0" applyProtection="0"/>
    <xf numFmtId="0" fontId="31" fillId="13" borderId="0" applyNumberFormat="0" applyBorder="0" applyAlignment="0" applyProtection="0"/>
    <xf numFmtId="178" fontId="57" fillId="36" borderId="0">
      <alignment/>
      <protection/>
    </xf>
    <xf numFmtId="0" fontId="43" fillId="9" borderId="0" applyNumberFormat="0" applyBorder="0" applyAlignment="0" applyProtection="0"/>
    <xf numFmtId="0" fontId="51" fillId="2" borderId="0" applyNumberFormat="0" applyBorder="0" applyAlignment="0" applyProtection="0"/>
    <xf numFmtId="9" fontId="119" fillId="0" borderId="0" applyFont="0" applyFill="0" applyBorder="0" applyAlignment="0" applyProtection="0"/>
    <xf numFmtId="0" fontId="98" fillId="0" borderId="8" applyNumberFormat="0" applyFill="0" applyAlignment="0" applyProtection="0"/>
    <xf numFmtId="178" fontId="116" fillId="37" borderId="0">
      <alignment/>
      <protection/>
    </xf>
    <xf numFmtId="192" fontId="78" fillId="0" borderId="0" applyFont="0" applyFill="0" applyBorder="0" applyAlignment="0" applyProtection="0"/>
    <xf numFmtId="38" fontId="58" fillId="0" borderId="0" applyFont="0" applyFill="0" applyBorder="0" applyAlignment="0" applyProtection="0"/>
    <xf numFmtId="40" fontId="58" fillId="0" borderId="0" applyFont="0" applyFill="0" applyBorder="0" applyAlignment="0" applyProtection="0"/>
    <xf numFmtId="179" fontId="10" fillId="0" borderId="0" applyFont="0" applyFill="0" applyBorder="0" applyAlignment="0" applyProtection="0"/>
    <xf numFmtId="0" fontId="43" fillId="9" borderId="0" applyNumberFormat="0" applyBorder="0" applyAlignment="0" applyProtection="0"/>
    <xf numFmtId="197" fontId="58" fillId="0" borderId="0" applyFont="0" applyFill="0" applyBorder="0" applyAlignment="0" applyProtection="0"/>
    <xf numFmtId="0" fontId="43" fillId="9" borderId="0" applyNumberFormat="0" applyBorder="0" applyAlignment="0" applyProtection="0"/>
    <xf numFmtId="0" fontId="34" fillId="6" borderId="0" applyNumberFormat="0" applyBorder="0" applyAlignment="0" applyProtection="0"/>
    <xf numFmtId="184" fontId="58" fillId="0" borderId="0" applyFont="0" applyFill="0" applyBorder="0" applyAlignment="0" applyProtection="0"/>
    <xf numFmtId="0" fontId="66" fillId="0" borderId="0">
      <alignment/>
      <protection/>
    </xf>
    <xf numFmtId="37" fontId="73" fillId="0" borderId="0">
      <alignment/>
      <protection/>
    </xf>
    <xf numFmtId="0" fontId="95" fillId="0" borderId="0">
      <alignment/>
      <protection/>
    </xf>
    <xf numFmtId="0" fontId="33" fillId="3" borderId="0" applyNumberFormat="0" applyBorder="0" applyAlignment="0" applyProtection="0"/>
    <xf numFmtId="0" fontId="57" fillId="0" borderId="0">
      <alignment/>
      <protection/>
    </xf>
    <xf numFmtId="0" fontId="0" fillId="0" borderId="0" applyNumberFormat="0" applyFill="0" applyBorder="0" applyAlignment="0" applyProtection="0"/>
    <xf numFmtId="0" fontId="32" fillId="6" borderId="0" applyNumberFormat="0" applyBorder="0" applyAlignment="0" applyProtection="0"/>
    <xf numFmtId="0" fontId="10" fillId="0" borderId="0">
      <alignment vertical="top"/>
      <protection/>
    </xf>
    <xf numFmtId="0" fontId="55" fillId="9" borderId="0" applyNumberFormat="0" applyBorder="0" applyAlignment="0" applyProtection="0"/>
    <xf numFmtId="0" fontId="19" fillId="0" borderId="0">
      <alignment/>
      <protection/>
    </xf>
    <xf numFmtId="0" fontId="43" fillId="9" borderId="0" applyNumberFormat="0" applyBorder="0" applyAlignment="0" applyProtection="0"/>
    <xf numFmtId="0" fontId="0" fillId="4" borderId="2" applyNumberFormat="0" applyFont="0" applyAlignment="0" applyProtection="0"/>
    <xf numFmtId="0" fontId="43" fillId="9" borderId="0" applyNumberFormat="0" applyBorder="0" applyAlignment="0" applyProtection="0"/>
    <xf numFmtId="10" fontId="1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9" fillId="0" borderId="0" applyFont="0" applyFill="0" applyBorder="0" applyAlignment="0" applyProtection="0"/>
    <xf numFmtId="15" fontId="58" fillId="0" borderId="0" applyFont="0" applyFill="0" applyBorder="0" applyAlignment="0" applyProtection="0"/>
    <xf numFmtId="0" fontId="33" fillId="3" borderId="0" applyNumberFormat="0" applyBorder="0" applyAlignment="0" applyProtection="0"/>
    <xf numFmtId="0" fontId="58" fillId="38" borderId="0" applyNumberFormat="0" applyFont="0" applyBorder="0" applyAlignment="0" applyProtection="0"/>
    <xf numFmtId="0" fontId="32" fillId="6" borderId="0" applyNumberFormat="0" applyBorder="0" applyAlignment="0" applyProtection="0"/>
    <xf numFmtId="3" fontId="59" fillId="0" borderId="0">
      <alignment/>
      <protection/>
    </xf>
    <xf numFmtId="0" fontId="91" fillId="0" borderId="0" applyNumberFormat="0" applyFill="0" applyBorder="0" applyAlignment="0" applyProtection="0"/>
    <xf numFmtId="0" fontId="34" fillId="6" borderId="0" applyNumberFormat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32" fillId="6" borderId="0" applyNumberFormat="0" applyBorder="0" applyAlignment="0" applyProtection="0"/>
    <xf numFmtId="0" fontId="107" fillId="33" borderId="13">
      <alignment/>
      <protection locked="0"/>
    </xf>
    <xf numFmtId="0" fontId="89" fillId="0" borderId="4" applyNumberFormat="0" applyFill="0" applyAlignment="0" applyProtection="0"/>
    <xf numFmtId="0" fontId="32" fillId="6" borderId="0" applyNumberFormat="0" applyBorder="0" applyAlignment="0" applyProtection="0"/>
    <xf numFmtId="0" fontId="117" fillId="0" borderId="0">
      <alignment/>
      <protection/>
    </xf>
    <xf numFmtId="0" fontId="10" fillId="0" borderId="0" applyNumberFormat="0" applyFill="0" applyBorder="0" applyAlignment="0" applyProtection="0"/>
    <xf numFmtId="0" fontId="107" fillId="33" borderId="13">
      <alignment/>
      <protection locked="0"/>
    </xf>
    <xf numFmtId="0" fontId="43" fillId="9" borderId="0" applyNumberFormat="0" applyBorder="0" applyAlignment="0" applyProtection="0"/>
    <xf numFmtId="0" fontId="32" fillId="6" borderId="0" applyNumberFormat="0" applyBorder="0" applyAlignment="0" applyProtection="0"/>
    <xf numFmtId="0" fontId="75" fillId="0" borderId="0">
      <alignment horizontal="center" vertical="top"/>
      <protection/>
    </xf>
    <xf numFmtId="0" fontId="115" fillId="0" borderId="20" applyNumberFormat="0" applyFill="0" applyAlignment="0" applyProtection="0"/>
    <xf numFmtId="195" fontId="10" fillId="0" borderId="0" applyFont="0" applyFill="0" applyBorder="0" applyAlignment="0" applyProtection="0"/>
    <xf numFmtId="188" fontId="10" fillId="0" borderId="0" applyFont="0" applyFill="0" applyBorder="0" applyAlignment="0" applyProtection="0"/>
    <xf numFmtId="186" fontId="78" fillId="0" borderId="0" applyFont="0" applyFill="0" applyBorder="0" applyAlignment="0" applyProtection="0"/>
    <xf numFmtId="0" fontId="111" fillId="0" borderId="0" applyNumberFormat="0" applyFill="0" applyBorder="0" applyAlignment="0" applyProtection="0"/>
    <xf numFmtId="0" fontId="34" fillId="6" borderId="0" applyNumberFormat="0" applyBorder="0" applyAlignment="0" applyProtection="0"/>
    <xf numFmtId="9" fontId="0" fillId="0" borderId="0" applyFont="0" applyFill="0" applyBorder="0" applyAlignment="0" applyProtection="0"/>
    <xf numFmtId="9" fontId="37" fillId="0" borderId="0" applyFont="0" applyFill="0" applyBorder="0" applyAlignment="0" applyProtection="0"/>
    <xf numFmtId="198" fontId="10" fillId="0" borderId="0" applyFont="0" applyFill="0" applyBorder="0" applyAlignment="0" applyProtection="0"/>
    <xf numFmtId="0" fontId="10" fillId="0" borderId="21" applyNumberFormat="0" applyFill="0" applyProtection="0">
      <alignment horizontal="right"/>
    </xf>
    <xf numFmtId="0" fontId="32" fillId="3" borderId="0" applyNumberFormat="0" applyBorder="0" applyAlignment="0" applyProtection="0"/>
    <xf numFmtId="0" fontId="60" fillId="0" borderId="10" applyNumberFormat="0" applyFill="0" applyAlignment="0" applyProtection="0"/>
    <xf numFmtId="0" fontId="72" fillId="0" borderId="10" applyNumberFormat="0" applyFill="0" applyAlignment="0" applyProtection="0"/>
    <xf numFmtId="0" fontId="72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106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76" fillId="0" borderId="21" applyNumberFormat="0" applyFill="0" applyProtection="0">
      <alignment horizontal="center"/>
    </xf>
    <xf numFmtId="0" fontId="49" fillId="0" borderId="0" applyNumberFormat="0" applyFill="0" applyBorder="0" applyAlignment="0" applyProtection="0"/>
    <xf numFmtId="0" fontId="35" fillId="3" borderId="0" applyNumberFormat="0" applyBorder="0" applyAlignment="0" applyProtection="0"/>
    <xf numFmtId="0" fontId="34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43" fillId="9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2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51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3" fillId="3" borderId="0" applyNumberFormat="0" applyBorder="0" applyAlignment="0" applyProtection="0"/>
    <xf numFmtId="0" fontId="43" fillId="2" borderId="0" applyNumberFormat="0" applyBorder="0" applyAlignment="0" applyProtection="0"/>
    <xf numFmtId="0" fontId="32" fillId="6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43" fillId="9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2" fillId="6" borderId="0" applyNumberFormat="0" applyBorder="0" applyAlignment="0" applyProtection="0"/>
    <xf numFmtId="0" fontId="33" fillId="3" borderId="0" applyNumberFormat="0" applyBorder="0" applyAlignment="0" applyProtection="0"/>
    <xf numFmtId="0" fontId="32" fillId="3" borderId="0" applyNumberFormat="0" applyBorder="0" applyAlignment="0" applyProtection="0"/>
    <xf numFmtId="0" fontId="0" fillId="0" borderId="0">
      <alignment/>
      <protection/>
    </xf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5" fillId="3" borderId="0" applyNumberFormat="0" applyBorder="0" applyAlignment="0" applyProtection="0"/>
    <xf numFmtId="0" fontId="43" fillId="9" borderId="0" applyNumberFormat="0" applyBorder="0" applyAlignment="0" applyProtection="0"/>
    <xf numFmtId="0" fontId="33" fillId="3" borderId="0" applyNumberFormat="0" applyBorder="0" applyAlignment="0" applyProtection="0"/>
    <xf numFmtId="0" fontId="32" fillId="6" borderId="0" applyNumberFormat="0" applyBorder="0" applyAlignment="0" applyProtection="0"/>
    <xf numFmtId="0" fontId="33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6" borderId="0" applyNumberFormat="0" applyBorder="0" applyAlignment="0" applyProtection="0"/>
    <xf numFmtId="0" fontId="32" fillId="3" borderId="0" applyNumberFormat="0" applyBorder="0" applyAlignment="0" applyProtection="0"/>
    <xf numFmtId="0" fontId="32" fillId="6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3" fillId="6" borderId="0" applyNumberFormat="0" applyBorder="0" applyAlignment="0" applyProtection="0"/>
    <xf numFmtId="0" fontId="32" fillId="6" borderId="0" applyNumberFormat="0" applyBorder="0" applyAlignment="0" applyProtection="0"/>
    <xf numFmtId="0" fontId="34" fillId="6" borderId="0" applyNumberFormat="0" applyBorder="0" applyAlignment="0" applyProtection="0"/>
    <xf numFmtId="0" fontId="32" fillId="6" borderId="0" applyNumberFormat="0" applyBorder="0" applyAlignment="0" applyProtection="0"/>
    <xf numFmtId="0" fontId="43" fillId="9" borderId="0" applyNumberFormat="0" applyBorder="0" applyAlignment="0" applyProtection="0"/>
    <xf numFmtId="0" fontId="34" fillId="6" borderId="0" applyNumberFormat="0" applyBorder="0" applyAlignment="0" applyProtection="0"/>
    <xf numFmtId="0" fontId="32" fillId="6" borderId="0" applyNumberFormat="0" applyBorder="0" applyAlignment="0" applyProtection="0"/>
    <xf numFmtId="0" fontId="34" fillId="6" borderId="0" applyNumberFormat="0" applyBorder="0" applyAlignment="0" applyProtection="0"/>
    <xf numFmtId="0" fontId="32" fillId="6" borderId="0" applyNumberFormat="0" applyBorder="0" applyAlignment="0" applyProtection="0"/>
    <xf numFmtId="0" fontId="34" fillId="6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3" borderId="0" applyNumberFormat="0" applyBorder="0" applyAlignment="0" applyProtection="0"/>
    <xf numFmtId="0" fontId="32" fillId="6" borderId="0" applyNumberFormat="0" applyBorder="0" applyAlignment="0" applyProtection="0"/>
    <xf numFmtId="0" fontId="32" fillId="3" borderId="0" applyNumberFormat="0" applyBorder="0" applyAlignment="0" applyProtection="0"/>
    <xf numFmtId="0" fontId="32" fillId="6" borderId="0" applyNumberFormat="0" applyBorder="0" applyAlignment="0" applyProtection="0"/>
    <xf numFmtId="0" fontId="0" fillId="0" borderId="0">
      <alignment/>
      <protection/>
    </xf>
    <xf numFmtId="0" fontId="32" fillId="3" borderId="0" applyNumberFormat="0" applyBorder="0" applyAlignment="0" applyProtection="0"/>
    <xf numFmtId="0" fontId="43" fillId="9" borderId="0" applyNumberFormat="0" applyBorder="0" applyAlignment="0" applyProtection="0"/>
    <xf numFmtId="0" fontId="32" fillId="3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2" fillId="6" borderId="0" applyNumberFormat="0" applyBorder="0" applyAlignment="0" applyProtection="0"/>
    <xf numFmtId="0" fontId="55" fillId="9" borderId="0" applyNumberFormat="0" applyBorder="0" applyAlignment="0" applyProtection="0"/>
    <xf numFmtId="0" fontId="35" fillId="3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19" fillId="0" borderId="0">
      <alignment/>
      <protection/>
    </xf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43" fillId="9" borderId="0" applyNumberFormat="0" applyBorder="0" applyAlignment="0" applyProtection="0"/>
    <xf numFmtId="0" fontId="34" fillId="6" borderId="0" applyNumberFormat="0" applyBorder="0" applyAlignment="0" applyProtection="0"/>
    <xf numFmtId="0" fontId="32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43" fillId="9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55" fillId="9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43" fillId="9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3" fillId="6" borderId="0" applyNumberFormat="0" applyBorder="0" applyAlignment="0" applyProtection="0"/>
    <xf numFmtId="0" fontId="32" fillId="6" borderId="0" applyNumberFormat="0" applyBorder="0" applyAlignment="0" applyProtection="0"/>
    <xf numFmtId="0" fontId="63" fillId="2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4" fillId="6" borderId="0" applyNumberFormat="0" applyBorder="0" applyAlignment="0" applyProtection="0"/>
    <xf numFmtId="0" fontId="32" fillId="6" borderId="0" applyNumberFormat="0" applyBorder="0" applyAlignment="0" applyProtection="0"/>
    <xf numFmtId="0" fontId="34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41" fontId="10" fillId="0" borderId="0" applyFont="0" applyFill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4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55" fillId="9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43" fillId="9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55" fillId="9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43" fillId="9" borderId="0" applyNumberFormat="0" applyBorder="0" applyAlignment="0" applyProtection="0"/>
    <xf numFmtId="0" fontId="39" fillId="3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96" fillId="0" borderId="0">
      <alignment/>
      <protection/>
    </xf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43" fillId="9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121" fillId="39" borderId="0" applyNumberFormat="0" applyBorder="0" applyAlignment="0" applyProtection="0"/>
    <xf numFmtId="0" fontId="55" fillId="9" borderId="0" applyNumberFormat="0" applyBorder="0" applyAlignment="0" applyProtection="0"/>
    <xf numFmtId="0" fontId="35" fillId="6" borderId="0" applyNumberFormat="0" applyBorder="0" applyAlignment="0" applyProtection="0"/>
    <xf numFmtId="0" fontId="39" fillId="3" borderId="0" applyNumberFormat="0" applyBorder="0" applyAlignment="0" applyProtection="0"/>
    <xf numFmtId="0" fontId="35" fillId="6" borderId="0" applyNumberFormat="0" applyBorder="0" applyAlignment="0" applyProtection="0"/>
    <xf numFmtId="0" fontId="10" fillId="0" borderId="0">
      <alignment/>
      <protection locked="0"/>
    </xf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0" fillId="0" borderId="0">
      <alignment vertical="center"/>
      <protection/>
    </xf>
    <xf numFmtId="0" fontId="35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43" fillId="9" borderId="0" applyNumberFormat="0" applyBorder="0" applyAlignment="0" applyProtection="0"/>
    <xf numFmtId="0" fontId="32" fillId="6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43" fillId="9" borderId="0" applyNumberFormat="0" applyBorder="0" applyAlignment="0" applyProtection="0"/>
    <xf numFmtId="0" fontId="32" fillId="6" borderId="0" applyNumberFormat="0" applyBorder="0" applyAlignment="0" applyProtection="0"/>
    <xf numFmtId="0" fontId="121" fillId="39" borderId="0" applyNumberFormat="0" applyBorder="0" applyAlignment="0" applyProtection="0"/>
    <xf numFmtId="0" fontId="43" fillId="9" borderId="0" applyNumberFormat="0" applyBorder="0" applyAlignment="0" applyProtection="0"/>
    <xf numFmtId="0" fontId="32" fillId="6" borderId="0" applyNumberFormat="0" applyBorder="0" applyAlignment="0" applyProtection="0"/>
    <xf numFmtId="0" fontId="43" fillId="9" borderId="0" applyNumberFormat="0" applyBorder="0" applyAlignment="0" applyProtection="0"/>
    <xf numFmtId="0" fontId="32" fillId="6" borderId="0" applyNumberFormat="0" applyBorder="0" applyAlignment="0" applyProtection="0"/>
    <xf numFmtId="0" fontId="82" fillId="15" borderId="1" applyNumberFormat="0" applyAlignment="0" applyProtection="0"/>
    <xf numFmtId="0" fontId="43" fillId="9" borderId="0" applyNumberFormat="0" applyBorder="0" applyAlignment="0" applyProtection="0"/>
    <xf numFmtId="0" fontId="32" fillId="6" borderId="0" applyNumberFormat="0" applyBorder="0" applyAlignment="0" applyProtection="0"/>
    <xf numFmtId="0" fontId="43" fillId="9" borderId="0" applyNumberFormat="0" applyBorder="0" applyAlignment="0" applyProtection="0"/>
    <xf numFmtId="0" fontId="32" fillId="6" borderId="0" applyNumberFormat="0" applyBorder="0" applyAlignment="0" applyProtection="0"/>
    <xf numFmtId="0" fontId="43" fillId="9" borderId="0" applyNumberFormat="0" applyBorder="0" applyAlignment="0" applyProtection="0"/>
    <xf numFmtId="0" fontId="32" fillId="6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43" fillId="9" borderId="0" applyNumberFormat="0" applyBorder="0" applyAlignment="0" applyProtection="0"/>
    <xf numFmtId="0" fontId="35" fillId="3" borderId="0" applyNumberFormat="0" applyBorder="0" applyAlignment="0" applyProtection="0"/>
    <xf numFmtId="0" fontId="0" fillId="0" borderId="0">
      <alignment/>
      <protection/>
    </xf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3" fillId="3" borderId="0" applyNumberFormat="0" applyBorder="0" applyAlignment="0" applyProtection="0"/>
    <xf numFmtId="0" fontId="55" fillId="9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33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33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43" fillId="9" borderId="0" applyNumberFormat="0" applyBorder="0" applyAlignment="0" applyProtection="0"/>
    <xf numFmtId="0" fontId="32" fillId="6" borderId="0" applyNumberFormat="0" applyBorder="0" applyAlignment="0" applyProtection="0"/>
    <xf numFmtId="0" fontId="84" fillId="0" borderId="20" applyNumberFormat="0" applyFill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43" fillId="9" borderId="0" applyNumberFormat="0" applyBorder="0" applyAlignment="0" applyProtection="0"/>
    <xf numFmtId="0" fontId="0" fillId="0" borderId="0">
      <alignment/>
      <protection/>
    </xf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44" fillId="2" borderId="0" applyNumberFormat="0" applyBorder="0" applyAlignment="0" applyProtection="0"/>
    <xf numFmtId="0" fontId="34" fillId="6" borderId="0" applyNumberFormat="0" applyBorder="0" applyAlignment="0" applyProtection="0"/>
    <xf numFmtId="0" fontId="43" fillId="9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43" fillId="9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4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6" fillId="5" borderId="1" applyNumberFormat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43" fillId="9" borderId="0" applyNumberFormat="0" applyBorder="0" applyAlignment="0" applyProtection="0"/>
    <xf numFmtId="0" fontId="32" fillId="6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43" fillId="9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55" fillId="9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43" fillId="9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51" fillId="2" borderId="0" applyNumberFormat="0" applyBorder="0" applyAlignment="0" applyProtection="0"/>
    <xf numFmtId="0" fontId="32" fillId="3" borderId="0" applyNumberFormat="0" applyBorder="0" applyAlignment="0" applyProtection="0"/>
    <xf numFmtId="0" fontId="121" fillId="39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43" fillId="9" borderId="0" applyNumberFormat="0" applyBorder="0" applyAlignment="0" applyProtection="0"/>
    <xf numFmtId="0" fontId="34" fillId="6" borderId="0" applyNumberFormat="0" applyBorder="0" applyAlignment="0" applyProtection="0"/>
    <xf numFmtId="0" fontId="43" fillId="9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43" fillId="9" borderId="0" applyNumberFormat="0" applyBorder="0" applyAlignment="0" applyProtection="0"/>
    <xf numFmtId="0" fontId="34" fillId="6" borderId="0" applyNumberFormat="0" applyBorder="0" applyAlignment="0" applyProtection="0"/>
    <xf numFmtId="0" fontId="35" fillId="3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5" fillId="3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63" fillId="2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182" fontId="10" fillId="0" borderId="12" applyFill="0" applyProtection="0">
      <alignment horizontal="right"/>
    </xf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43" fillId="9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43" fillId="9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51" fillId="2" borderId="0" applyNumberFormat="0" applyBorder="0" applyAlignment="0" applyProtection="0"/>
    <xf numFmtId="0" fontId="34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4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43" fillId="2" borderId="0" applyNumberFormat="0" applyBorder="0" applyAlignment="0" applyProtection="0"/>
    <xf numFmtId="0" fontId="32" fillId="6" borderId="0" applyNumberFormat="0" applyBorder="0" applyAlignment="0" applyProtection="0"/>
    <xf numFmtId="0" fontId="43" fillId="9" borderId="0" applyNumberFormat="0" applyBorder="0" applyAlignment="0" applyProtection="0"/>
    <xf numFmtId="0" fontId="32" fillId="6" borderId="0" applyNumberFormat="0" applyBorder="0" applyAlignment="0" applyProtection="0"/>
    <xf numFmtId="0" fontId="51" fillId="2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79" fillId="21" borderId="0" applyNumberFormat="0" applyBorder="0" applyAlignment="0" applyProtection="0"/>
    <xf numFmtId="0" fontId="44" fillId="2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44" fillId="2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55" fillId="9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43" fillId="9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55" fillId="9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2" fillId="6" borderId="0" applyNumberFormat="0" applyBorder="0" applyAlignment="0" applyProtection="0"/>
    <xf numFmtId="0" fontId="43" fillId="9" borderId="0" applyNumberFormat="0" applyBorder="0" applyAlignment="0" applyProtection="0"/>
    <xf numFmtId="0" fontId="32" fillId="6" borderId="0" applyNumberFormat="0" applyBorder="0" applyAlignment="0" applyProtection="0"/>
    <xf numFmtId="0" fontId="43" fillId="9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43" fillId="9" borderId="0" applyNumberFormat="0" applyBorder="0" applyAlignment="0" applyProtection="0"/>
    <xf numFmtId="0" fontId="34" fillId="6" borderId="0" applyNumberFormat="0" applyBorder="0" applyAlignment="0" applyProtection="0"/>
    <xf numFmtId="0" fontId="43" fillId="9" borderId="0" applyNumberFormat="0" applyBorder="0" applyAlignment="0" applyProtection="0"/>
    <xf numFmtId="0" fontId="34" fillId="6" borderId="0" applyNumberFormat="0" applyBorder="0" applyAlignment="0" applyProtection="0"/>
    <xf numFmtId="0" fontId="43" fillId="9" borderId="0" applyNumberFormat="0" applyBorder="0" applyAlignment="0" applyProtection="0"/>
    <xf numFmtId="0" fontId="34" fillId="6" borderId="0" applyNumberFormat="0" applyBorder="0" applyAlignment="0" applyProtection="0"/>
    <xf numFmtId="0" fontId="43" fillId="9" borderId="0" applyNumberFormat="0" applyBorder="0" applyAlignment="0" applyProtection="0"/>
    <xf numFmtId="0" fontId="34" fillId="6" borderId="0" applyNumberFormat="0" applyBorder="0" applyAlignment="0" applyProtection="0"/>
    <xf numFmtId="0" fontId="43" fillId="9" borderId="0" applyNumberFormat="0" applyBorder="0" applyAlignment="0" applyProtection="0"/>
    <xf numFmtId="0" fontId="34" fillId="6" borderId="0" applyNumberFormat="0" applyBorder="0" applyAlignment="0" applyProtection="0"/>
    <xf numFmtId="0" fontId="10" fillId="0" borderId="0">
      <alignment/>
      <protection locked="0"/>
    </xf>
    <xf numFmtId="0" fontId="10" fillId="0" borderId="0">
      <alignment/>
      <protection locked="0"/>
    </xf>
    <xf numFmtId="0" fontId="0" fillId="0" borderId="0" applyNumberFormat="0" applyFill="0" applyBorder="0" applyAlignment="0" applyProtection="0"/>
    <xf numFmtId="0" fontId="10" fillId="0" borderId="0">
      <alignment/>
      <protection locked="0"/>
    </xf>
    <xf numFmtId="0" fontId="43" fillId="9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8" fillId="5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9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0" fillId="0" borderId="0">
      <alignment vertical="center"/>
      <protection/>
    </xf>
    <xf numFmtId="0" fontId="43" fillId="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51" fillId="2" borderId="0" applyNumberFormat="0" applyBorder="0" applyAlignment="0" applyProtection="0"/>
    <xf numFmtId="0" fontId="51" fillId="2" borderId="0" applyNumberFormat="0" applyBorder="0" applyAlignment="0" applyProtection="0"/>
    <xf numFmtId="0" fontId="51" fillId="2" borderId="0" applyNumberFormat="0" applyBorder="0" applyAlignment="0" applyProtection="0"/>
    <xf numFmtId="0" fontId="51" fillId="2" borderId="0" applyNumberFormat="0" applyBorder="0" applyAlignment="0" applyProtection="0"/>
    <xf numFmtId="0" fontId="51" fillId="2" borderId="0" applyNumberFormat="0" applyBorder="0" applyAlignment="0" applyProtection="0"/>
    <xf numFmtId="0" fontId="51" fillId="2" borderId="0" applyNumberFormat="0" applyBorder="0" applyAlignment="0" applyProtection="0"/>
    <xf numFmtId="0" fontId="51" fillId="2" borderId="0" applyNumberFormat="0" applyBorder="0" applyAlignment="0" applyProtection="0"/>
    <xf numFmtId="0" fontId="51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51" fillId="2" borderId="0" applyNumberFormat="0" applyBorder="0" applyAlignment="0" applyProtection="0"/>
    <xf numFmtId="0" fontId="51" fillId="2" borderId="0" applyNumberFormat="0" applyBorder="0" applyAlignment="0" applyProtection="0"/>
    <xf numFmtId="0" fontId="51" fillId="2" borderId="0" applyNumberFormat="0" applyBorder="0" applyAlignment="0" applyProtection="0"/>
    <xf numFmtId="0" fontId="51" fillId="2" borderId="0" applyNumberFormat="0" applyBorder="0" applyAlignment="0" applyProtection="0"/>
    <xf numFmtId="0" fontId="43" fillId="9" borderId="0" applyNumberFormat="0" applyBorder="0" applyAlignment="0" applyProtection="0"/>
    <xf numFmtId="0" fontId="51" fillId="2" borderId="0" applyNumberFormat="0" applyBorder="0" applyAlignment="0" applyProtection="0"/>
    <xf numFmtId="0" fontId="51" fillId="2" borderId="0" applyNumberFormat="0" applyBorder="0" applyAlignment="0" applyProtection="0"/>
    <xf numFmtId="0" fontId="51" fillId="2" borderId="0" applyNumberFormat="0" applyBorder="0" applyAlignment="0" applyProtection="0"/>
    <xf numFmtId="0" fontId="51" fillId="2" borderId="0" applyNumberFormat="0" applyBorder="0" applyAlignment="0" applyProtection="0"/>
    <xf numFmtId="0" fontId="51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9" borderId="0" applyNumberFormat="0" applyBorder="0" applyAlignment="0" applyProtection="0"/>
    <xf numFmtId="0" fontId="43" fillId="2" borderId="0" applyNumberFormat="0" applyBorder="0" applyAlignment="0" applyProtection="0"/>
    <xf numFmtId="0" fontId="43" fillId="9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9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63" fillId="2" borderId="0" applyNumberFormat="0" applyBorder="0" applyAlignment="0" applyProtection="0"/>
    <xf numFmtId="0" fontId="55" fillId="9" borderId="0" applyNumberFormat="0" applyBorder="0" applyAlignment="0" applyProtection="0"/>
    <xf numFmtId="0" fontId="63" fillId="2" borderId="0" applyNumberFormat="0" applyBorder="0" applyAlignment="0" applyProtection="0"/>
    <xf numFmtId="0" fontId="55" fillId="9" borderId="0" applyNumberFormat="0" applyBorder="0" applyAlignment="0" applyProtection="0"/>
    <xf numFmtId="0" fontId="63" fillId="2" borderId="0" applyNumberFormat="0" applyBorder="0" applyAlignment="0" applyProtection="0"/>
    <xf numFmtId="0" fontId="55" fillId="9" borderId="0" applyNumberFormat="0" applyBorder="0" applyAlignment="0" applyProtection="0"/>
    <xf numFmtId="0" fontId="63" fillId="2" borderId="0" applyNumberFormat="0" applyBorder="0" applyAlignment="0" applyProtection="0"/>
    <xf numFmtId="0" fontId="55" fillId="9" borderId="0" applyNumberFormat="0" applyBorder="0" applyAlignment="0" applyProtection="0"/>
    <xf numFmtId="0" fontId="43" fillId="9" borderId="0" applyNumberFormat="0" applyBorder="0" applyAlignment="0" applyProtection="0"/>
    <xf numFmtId="0" fontId="63" fillId="2" borderId="0" applyNumberFormat="0" applyBorder="0" applyAlignment="0" applyProtection="0"/>
    <xf numFmtId="0" fontId="55" fillId="9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3" fillId="9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43" fillId="9" borderId="0" applyNumberFormat="0" applyBorder="0" applyAlignment="0" applyProtection="0"/>
    <xf numFmtId="0" fontId="55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0" fillId="0" borderId="0">
      <alignment vertical="center"/>
      <protection/>
    </xf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22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55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63" fillId="2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51" fillId="34" borderId="0" applyNumberFormat="0" applyBorder="0" applyAlignment="0" applyProtection="0"/>
    <xf numFmtId="0" fontId="43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51" fillId="9" borderId="0" applyNumberFormat="0" applyBorder="0" applyAlignment="0" applyProtection="0"/>
    <xf numFmtId="0" fontId="51" fillId="9" borderId="0" applyNumberFormat="0" applyBorder="0" applyAlignment="0" applyProtection="0"/>
    <xf numFmtId="0" fontId="51" fillId="9" borderId="0" applyNumberFormat="0" applyBorder="0" applyAlignment="0" applyProtection="0"/>
    <xf numFmtId="0" fontId="51" fillId="9" borderId="0" applyNumberFormat="0" applyBorder="0" applyAlignment="0" applyProtection="0"/>
    <xf numFmtId="0" fontId="51" fillId="9" borderId="0" applyNumberFormat="0" applyBorder="0" applyAlignment="0" applyProtection="0"/>
    <xf numFmtId="0" fontId="51" fillId="9" borderId="0" applyNumberFormat="0" applyBorder="0" applyAlignment="0" applyProtection="0"/>
    <xf numFmtId="0" fontId="63" fillId="2" borderId="0" applyNumberFormat="0" applyBorder="0" applyAlignment="0" applyProtection="0"/>
    <xf numFmtId="0" fontId="63" fillId="2" borderId="0" applyNumberFormat="0" applyBorder="0" applyAlignment="0" applyProtection="0"/>
    <xf numFmtId="0" fontId="63" fillId="2" borderId="0" applyNumberFormat="0" applyBorder="0" applyAlignment="0" applyProtection="0"/>
    <xf numFmtId="0" fontId="63" fillId="2" borderId="0" applyNumberFormat="0" applyBorder="0" applyAlignment="0" applyProtection="0"/>
    <xf numFmtId="0" fontId="63" fillId="2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63" fillId="2" borderId="0" applyNumberFormat="0" applyBorder="0" applyAlignment="0" applyProtection="0"/>
    <xf numFmtId="0" fontId="63" fillId="2" borderId="0" applyNumberFormat="0" applyBorder="0" applyAlignment="0" applyProtection="0"/>
    <xf numFmtId="0" fontId="63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0" fillId="0" borderId="0">
      <alignment vertical="center"/>
      <protection/>
    </xf>
    <xf numFmtId="0" fontId="44" fillId="2" borderId="0" applyNumberFormat="0" applyBorder="0" applyAlignment="0" applyProtection="0"/>
    <xf numFmtId="0" fontId="51" fillId="2" borderId="0" applyNumberFormat="0" applyBorder="0" applyAlignment="0" applyProtection="0"/>
    <xf numFmtId="0" fontId="51" fillId="2" borderId="0" applyNumberFormat="0" applyBorder="0" applyAlignment="0" applyProtection="0"/>
    <xf numFmtId="0" fontId="51" fillId="2" borderId="0" applyNumberFormat="0" applyBorder="0" applyAlignment="0" applyProtection="0"/>
    <xf numFmtId="0" fontId="51" fillId="2" borderId="0" applyNumberFormat="0" applyBorder="0" applyAlignment="0" applyProtection="0"/>
    <xf numFmtId="0" fontId="51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43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3" fillId="2" borderId="0" applyNumberFormat="0" applyBorder="0" applyAlignment="0" applyProtection="0"/>
    <xf numFmtId="0" fontId="44" fillId="2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51" fillId="34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44" fillId="2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22" borderId="0" applyNumberFormat="0" applyBorder="0" applyAlignment="0" applyProtection="0"/>
    <xf numFmtId="0" fontId="43" fillId="22" borderId="0" applyNumberFormat="0" applyBorder="0" applyAlignment="0" applyProtection="0"/>
    <xf numFmtId="0" fontId="43" fillId="22" borderId="0" applyNumberFormat="0" applyBorder="0" applyAlignment="0" applyProtection="0"/>
    <xf numFmtId="0" fontId="43" fillId="22" borderId="0" applyNumberFormat="0" applyBorder="0" applyAlignment="0" applyProtection="0"/>
    <xf numFmtId="0" fontId="43" fillId="22" borderId="0" applyNumberFormat="0" applyBorder="0" applyAlignment="0" applyProtection="0"/>
    <xf numFmtId="0" fontId="43" fillId="22" borderId="0" applyNumberFormat="0" applyBorder="0" applyAlignment="0" applyProtection="0"/>
    <xf numFmtId="0" fontId="43" fillId="22" borderId="0" applyNumberFormat="0" applyBorder="0" applyAlignment="0" applyProtection="0"/>
    <xf numFmtId="0" fontId="43" fillId="22" borderId="0" applyNumberFormat="0" applyBorder="0" applyAlignment="0" applyProtection="0"/>
    <xf numFmtId="0" fontId="43" fillId="22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79" fillId="18" borderId="0" applyNumberFormat="0" applyBorder="0" applyAlignment="0" applyProtection="0"/>
    <xf numFmtId="0" fontId="55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119" fillId="0" borderId="0">
      <alignment/>
      <protection/>
    </xf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55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31" fillId="13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122" fillId="0" borderId="8" applyNumberFormat="0" applyFill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44" fontId="0" fillId="0" borderId="0" applyFont="0" applyFill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4" fillId="0" borderId="20" applyNumberFormat="0" applyFill="0" applyAlignment="0" applyProtection="0"/>
    <xf numFmtId="44" fontId="0" fillId="0" borderId="0" applyFont="0" applyFill="0" applyBorder="0" applyAlignment="0" applyProtection="0"/>
    <xf numFmtId="177" fontId="109" fillId="0" borderId="0" applyFont="0" applyFill="0" applyBorder="0" applyAlignment="0" applyProtection="0"/>
    <xf numFmtId="200" fontId="109" fillId="0" borderId="0" applyFont="0" applyFill="0" applyBorder="0" applyAlignment="0" applyProtection="0"/>
    <xf numFmtId="0" fontId="125" fillId="14" borderId="1" applyNumberFormat="0" applyAlignment="0" applyProtection="0"/>
    <xf numFmtId="0" fontId="126" fillId="16" borderId="7" applyNumberFormat="0" applyAlignment="0" applyProtection="0"/>
    <xf numFmtId="0" fontId="40" fillId="16" borderId="7" applyNumberFormat="0" applyAlignment="0" applyProtection="0"/>
    <xf numFmtId="0" fontId="127" fillId="0" borderId="0" applyNumberFormat="0" applyFill="0" applyBorder="0" applyAlignment="0" applyProtection="0"/>
    <xf numFmtId="0" fontId="114" fillId="0" borderId="12" applyNumberFormat="0" applyFill="0" applyProtection="0">
      <alignment horizontal="left"/>
    </xf>
    <xf numFmtId="38" fontId="118" fillId="0" borderId="0" applyFont="0" applyFill="0" applyBorder="0" applyAlignment="0" applyProtection="0"/>
    <xf numFmtId="40" fontId="118" fillId="0" borderId="0" applyFont="0" applyFill="0" applyBorder="0" applyAlignment="0" applyProtection="0"/>
    <xf numFmtId="0" fontId="118" fillId="0" borderId="0" applyFont="0" applyFill="0" applyBorder="0" applyAlignment="0" applyProtection="0"/>
    <xf numFmtId="0" fontId="128" fillId="0" borderId="0">
      <alignment/>
      <protection/>
    </xf>
    <xf numFmtId="201" fontId="78" fillId="0" borderId="0" applyFont="0" applyFill="0" applyBorder="0" applyAlignment="0" applyProtection="0"/>
    <xf numFmtId="202" fontId="78" fillId="0" borderId="0" applyFont="0" applyFill="0" applyBorder="0" applyAlignment="0" applyProtection="0"/>
    <xf numFmtId="203" fontId="78" fillId="0" borderId="0" applyFont="0" applyFill="0" applyBorder="0" applyAlignment="0" applyProtection="0"/>
    <xf numFmtId="204" fontId="78" fillId="0" borderId="0" applyFont="0" applyFill="0" applyBorder="0" applyAlignment="0" applyProtection="0"/>
    <xf numFmtId="0" fontId="66" fillId="0" borderId="0">
      <alignment/>
      <protection/>
    </xf>
    <xf numFmtId="41" fontId="66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1" fontId="15" fillId="0" borderId="0" applyFont="0" applyFill="0" applyBorder="0" applyAlignment="0" applyProtection="0"/>
    <xf numFmtId="0" fontId="129" fillId="40" borderId="0" applyNumberFormat="0" applyBorder="0" applyAlignment="0" applyProtection="0"/>
    <xf numFmtId="0" fontId="129" fillId="41" borderId="0" applyNumberFormat="0" applyBorder="0" applyAlignment="0" applyProtection="0"/>
    <xf numFmtId="0" fontId="129" fillId="42" borderId="0" applyNumberFormat="0" applyBorder="0" applyAlignment="0" applyProtection="0"/>
    <xf numFmtId="0" fontId="79" fillId="11" borderId="0" applyNumberFormat="0" applyBorder="0" applyAlignment="0" applyProtection="0"/>
    <xf numFmtId="0" fontId="79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79" fillId="13" borderId="0" applyNumberFormat="0" applyBorder="0" applyAlignment="0" applyProtection="0"/>
    <xf numFmtId="0" fontId="31" fillId="21" borderId="0" applyNumberFormat="0" applyBorder="0" applyAlignment="0" applyProtection="0"/>
    <xf numFmtId="0" fontId="10" fillId="0" borderId="21" applyNumberFormat="0" applyFill="0" applyProtection="0">
      <alignment horizontal="left"/>
    </xf>
    <xf numFmtId="0" fontId="120" fillId="8" borderId="0" applyNumberFormat="0" applyBorder="0" applyAlignment="0" applyProtection="0"/>
    <xf numFmtId="0" fontId="74" fillId="8" borderId="0" applyNumberFormat="0" applyBorder="0" applyAlignment="0" applyProtection="0"/>
    <xf numFmtId="0" fontId="105" fillId="14" borderId="6" applyNumberFormat="0" applyAlignment="0" applyProtection="0"/>
    <xf numFmtId="0" fontId="81" fillId="15" borderId="6" applyNumberFormat="0" applyAlignment="0" applyProtection="0"/>
    <xf numFmtId="1" fontId="10" fillId="0" borderId="12" applyFill="0" applyProtection="0">
      <alignment horizontal="center"/>
    </xf>
    <xf numFmtId="1" fontId="14" fillId="0" borderId="19">
      <alignment vertical="center"/>
      <protection locked="0"/>
    </xf>
    <xf numFmtId="0" fontId="110" fillId="0" borderId="0">
      <alignment/>
      <protection/>
    </xf>
    <xf numFmtId="183" fontId="14" fillId="0" borderId="19">
      <alignment vertical="center"/>
      <protection locked="0"/>
    </xf>
    <xf numFmtId="0" fontId="109" fillId="0" borderId="0">
      <alignment/>
      <protection/>
    </xf>
    <xf numFmtId="0" fontId="58" fillId="0" borderId="0">
      <alignment/>
      <protection/>
    </xf>
    <xf numFmtId="43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0" fillId="4" borderId="2" applyNumberFormat="0" applyFont="0" applyAlignment="0" applyProtection="0"/>
  </cellStyleXfs>
  <cellXfs count="487">
    <xf numFmtId="0" fontId="0" fillId="0" borderId="0" xfId="0" applyAlignment="1">
      <alignment/>
    </xf>
    <xf numFmtId="0" fontId="0" fillId="0" borderId="15" xfId="0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22" xfId="0" applyFont="1" applyBorder="1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205" fontId="0" fillId="0" borderId="0" xfId="0" applyNumberFormat="1" applyAlignment="1">
      <alignment/>
    </xf>
    <xf numFmtId="0" fontId="3" fillId="0" borderId="0" xfId="0" applyFont="1" applyAlignment="1">
      <alignment horizontal="left" vertical="center"/>
    </xf>
    <xf numFmtId="205" fontId="3" fillId="0" borderId="0" xfId="0" applyNumberFormat="1" applyFont="1" applyAlignment="1">
      <alignment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205" fontId="0" fillId="0" borderId="0" xfId="0" applyNumberFormat="1" applyFont="1" applyFill="1" applyBorder="1" applyAlignment="1" applyProtection="1">
      <alignment/>
      <protection/>
    </xf>
    <xf numFmtId="205" fontId="5" fillId="0" borderId="0" xfId="0" applyNumberFormat="1" applyFont="1" applyAlignment="1">
      <alignment horizontal="right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205" fontId="5" fillId="0" borderId="23" xfId="0" applyNumberFormat="1" applyFont="1" applyFill="1" applyBorder="1" applyAlignment="1" applyProtection="1">
      <alignment horizontal="center" vertical="center"/>
      <protection/>
    </xf>
    <xf numFmtId="205" fontId="5" fillId="0" borderId="24" xfId="0" applyNumberFormat="1" applyFont="1" applyFill="1" applyBorder="1" applyAlignment="1" applyProtection="1">
      <alignment horizontal="center" vertical="center"/>
      <protection/>
    </xf>
    <xf numFmtId="205" fontId="5" fillId="0" borderId="23" xfId="0" applyNumberFormat="1" applyFont="1" applyBorder="1" applyAlignment="1">
      <alignment horizontal="center" vertical="center"/>
    </xf>
    <xf numFmtId="205" fontId="5" fillId="0" borderId="24" xfId="0" applyNumberFormat="1" applyFont="1" applyBorder="1" applyAlignment="1">
      <alignment horizontal="center" vertical="center"/>
    </xf>
    <xf numFmtId="205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1140" applyNumberFormat="1" applyFont="1" applyFill="1" applyBorder="1" applyAlignment="1" applyProtection="1">
      <alignment horizontal="left" vertical="center" wrapText="1"/>
      <protection/>
    </xf>
    <xf numFmtId="205" fontId="5" fillId="0" borderId="19" xfId="0" applyNumberFormat="1" applyFont="1" applyBorder="1" applyAlignment="1">
      <alignment horizontal="center" vertical="center"/>
    </xf>
    <xf numFmtId="206" fontId="0" fillId="0" borderId="0" xfId="0" applyNumberFormat="1" applyAlignment="1">
      <alignment/>
    </xf>
    <xf numFmtId="0" fontId="5" fillId="0" borderId="19" xfId="1140" applyNumberFormat="1" applyFont="1" applyFill="1" applyBorder="1" applyAlignment="1" applyProtection="1">
      <alignment horizontal="left" vertical="center" wrapText="1"/>
      <protection/>
    </xf>
    <xf numFmtId="0" fontId="6" fillId="0" borderId="15" xfId="1139" applyNumberFormat="1" applyFont="1" applyFill="1" applyBorder="1" applyAlignment="1" applyProtection="1">
      <alignment horizontal="left" vertical="center" wrapText="1"/>
      <protection/>
    </xf>
    <xf numFmtId="206" fontId="6" fillId="0" borderId="15" xfId="1139" applyNumberFormat="1" applyFont="1" applyFill="1" applyBorder="1" applyAlignment="1" applyProtection="1">
      <alignment horizontal="left" vertical="center" wrapText="1"/>
      <protection/>
    </xf>
    <xf numFmtId="205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>
      <alignment/>
    </xf>
    <xf numFmtId="0" fontId="0" fillId="0" borderId="0" xfId="0" applyFill="1" applyAlignment="1">
      <alignment horizontal="left"/>
    </xf>
    <xf numFmtId="206" fontId="0" fillId="0" borderId="0" xfId="0" applyNumberFormat="1" applyFill="1" applyAlignment="1">
      <alignment horizontal="left"/>
    </xf>
    <xf numFmtId="206" fontId="3" fillId="0" borderId="0" xfId="0" applyNumberFormat="1" applyFont="1" applyFill="1" applyAlignment="1">
      <alignment horizontal="center"/>
    </xf>
    <xf numFmtId="207" fontId="0" fillId="0" borderId="0" xfId="0" applyNumberFormat="1" applyFill="1" applyAlignment="1">
      <alignment/>
    </xf>
    <xf numFmtId="206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 horizontal="left" vertical="center"/>
    </xf>
    <xf numFmtId="206" fontId="3" fillId="0" borderId="0" xfId="0" applyNumberFormat="1" applyFont="1" applyFill="1" applyAlignment="1">
      <alignment horizontal="left"/>
    </xf>
    <xf numFmtId="0" fontId="0" fillId="0" borderId="0" xfId="0" applyNumberFormat="1" applyFont="1" applyFill="1" applyBorder="1" applyAlignment="1" applyProtection="1">
      <alignment horizontal="left"/>
      <protection/>
    </xf>
    <xf numFmtId="206" fontId="0" fillId="0" borderId="0" xfId="0" applyNumberFormat="1" applyFont="1" applyFill="1" applyBorder="1" applyAlignment="1" applyProtection="1">
      <alignment horizontal="left"/>
      <protection/>
    </xf>
    <xf numFmtId="206" fontId="3" fillId="0" borderId="0" xfId="0" applyNumberFormat="1" applyFont="1" applyFill="1" applyBorder="1" applyAlignment="1" applyProtection="1">
      <alignment horizontal="center"/>
      <protection/>
    </xf>
    <xf numFmtId="207" fontId="7" fillId="0" borderId="0" xfId="0" applyNumberFormat="1" applyFont="1" applyFill="1" applyBorder="1" applyAlignment="1" applyProtection="1">
      <alignment horizontal="right" vertical="center"/>
      <protection/>
    </xf>
    <xf numFmtId="206" fontId="7" fillId="0" borderId="0" xfId="0" applyNumberFormat="1" applyFont="1" applyFill="1" applyBorder="1" applyAlignment="1" applyProtection="1">
      <alignment horizontal="right" vertical="center"/>
      <protection/>
    </xf>
    <xf numFmtId="0" fontId="6" fillId="0" borderId="16" xfId="0" applyNumberFormat="1" applyFont="1" applyFill="1" applyBorder="1" applyAlignment="1" applyProtection="1">
      <alignment horizontal="center" vertical="center" wrapText="1"/>
      <protection/>
    </xf>
    <xf numFmtId="208" fontId="5" fillId="0" borderId="23" xfId="0" applyNumberFormat="1" applyFont="1" applyFill="1" applyBorder="1" applyAlignment="1" applyProtection="1">
      <alignment horizontal="center" vertical="center"/>
      <protection/>
    </xf>
    <xf numFmtId="208" fontId="5" fillId="0" borderId="18" xfId="0" applyNumberFormat="1" applyFont="1" applyFill="1" applyBorder="1" applyAlignment="1" applyProtection="1">
      <alignment horizontal="center" vertical="center"/>
      <protection/>
    </xf>
    <xf numFmtId="208" fontId="5" fillId="0" borderId="24" xfId="0" applyNumberFormat="1" applyFont="1" applyFill="1" applyBorder="1" applyAlignment="1" applyProtection="1">
      <alignment horizontal="center" vertical="center"/>
      <protection/>
    </xf>
    <xf numFmtId="0" fontId="5" fillId="0" borderId="23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6" fillId="0" borderId="21" xfId="0" applyNumberFormat="1" applyFont="1" applyFill="1" applyBorder="1" applyAlignment="1" applyProtection="1">
      <alignment horizontal="center" vertical="center" wrapText="1"/>
      <protection/>
    </xf>
    <xf numFmtId="206" fontId="5" fillId="0" borderId="19" xfId="0" applyNumberFormat="1" applyFont="1" applyFill="1" applyBorder="1" applyAlignment="1" applyProtection="1">
      <alignment horizontal="center" vertical="center" wrapText="1"/>
      <protection/>
    </xf>
    <xf numFmtId="207" fontId="5" fillId="0" borderId="19" xfId="0" applyNumberFormat="1" applyFont="1" applyFill="1" applyBorder="1" applyAlignment="1" applyProtection="1">
      <alignment horizontal="center" vertical="center" wrapText="1"/>
      <protection/>
    </xf>
    <xf numFmtId="0" fontId="5" fillId="0" borderId="19" xfId="0" applyNumberFormat="1" applyFont="1" applyFill="1" applyBorder="1" applyAlignment="1" applyProtection="1">
      <alignment horizontal="left" vertical="center" wrapText="1"/>
      <protection/>
    </xf>
    <xf numFmtId="206" fontId="6" fillId="0" borderId="19" xfId="0" applyNumberFormat="1" applyFont="1" applyFill="1" applyBorder="1" applyAlignment="1" applyProtection="1">
      <alignment horizontal="center" vertical="center"/>
      <protection/>
    </xf>
    <xf numFmtId="207" fontId="6" fillId="0" borderId="19" xfId="0" applyNumberFormat="1" applyFont="1" applyFill="1" applyBorder="1" applyAlignment="1" applyProtection="1">
      <alignment horizontal="center" vertical="center" wrapText="1"/>
      <protection/>
    </xf>
    <xf numFmtId="206" fontId="5" fillId="0" borderId="19" xfId="0" applyNumberFormat="1" applyFont="1" applyFill="1" applyBorder="1" applyAlignment="1">
      <alignment horizontal="center" vertical="center"/>
    </xf>
    <xf numFmtId="207" fontId="5" fillId="0" borderId="22" xfId="0" applyNumberFormat="1" applyFont="1" applyFill="1" applyBorder="1" applyAlignment="1">
      <alignment horizontal="right"/>
    </xf>
    <xf numFmtId="207" fontId="0" fillId="0" borderId="0" xfId="0" applyNumberFormat="1" applyAlignment="1">
      <alignment/>
    </xf>
    <xf numFmtId="206" fontId="3" fillId="0" borderId="0" xfId="0" applyNumberFormat="1" applyFont="1" applyAlignment="1">
      <alignment/>
    </xf>
    <xf numFmtId="206" fontId="0" fillId="0" borderId="0" xfId="0" applyNumberFormat="1" applyFont="1" applyFill="1" applyBorder="1" applyAlignment="1" applyProtection="1">
      <alignment/>
      <protection/>
    </xf>
    <xf numFmtId="0" fontId="5" fillId="0" borderId="22" xfId="0" applyFont="1" applyBorder="1" applyAlignment="1">
      <alignment horizontal="right"/>
    </xf>
    <xf numFmtId="0" fontId="5" fillId="0" borderId="23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206" fontId="6" fillId="0" borderId="19" xfId="1139" applyNumberFormat="1" applyFont="1" applyFill="1" applyBorder="1" applyAlignment="1" applyProtection="1">
      <alignment horizontal="center" vertical="center" wrapText="1"/>
      <protection/>
    </xf>
    <xf numFmtId="0" fontId="6" fillId="0" borderId="19" xfId="1139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206" fontId="5" fillId="0" borderId="19" xfId="0" applyNumberFormat="1" applyFont="1" applyBorder="1" applyAlignment="1">
      <alignment horizontal="center" vertical="center"/>
    </xf>
    <xf numFmtId="206" fontId="5" fillId="0" borderId="19" xfId="0" applyNumberFormat="1" applyFont="1" applyBorder="1" applyAlignment="1">
      <alignment horizontal="center" vertical="center" wrapText="1"/>
    </xf>
    <xf numFmtId="206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8" fillId="0" borderId="19" xfId="0" applyNumberFormat="1" applyFont="1" applyFill="1" applyBorder="1" applyAlignment="1" applyProtection="1">
      <alignment horizontal="left" vertical="center" wrapText="1"/>
      <protection/>
    </xf>
    <xf numFmtId="0" fontId="0" fillId="0" borderId="0" xfId="1139">
      <alignment vertical="center"/>
      <protection/>
    </xf>
    <xf numFmtId="0" fontId="3" fillId="0" borderId="0" xfId="1139" applyFont="1" applyFill="1" applyAlignment="1">
      <alignment horizontal="left" vertical="center"/>
      <protection/>
    </xf>
    <xf numFmtId="0" fontId="3" fillId="0" borderId="0" xfId="1139" applyFont="1">
      <alignment vertical="center"/>
      <protection/>
    </xf>
    <xf numFmtId="0" fontId="4" fillId="0" borderId="0" xfId="1139" applyNumberFormat="1" applyFont="1" applyFill="1" applyBorder="1" applyAlignment="1" applyProtection="1">
      <alignment horizontal="center" vertical="center"/>
      <protection/>
    </xf>
    <xf numFmtId="0" fontId="0" fillId="0" borderId="0" xfId="1139" applyNumberFormat="1" applyFont="1" applyFill="1" applyBorder="1" applyAlignment="1" applyProtection="1">
      <alignment/>
      <protection/>
    </xf>
    <xf numFmtId="0" fontId="5" fillId="0" borderId="0" xfId="1139" applyFont="1" applyAlignment="1">
      <alignment horizontal="right" vertical="center"/>
      <protection/>
    </xf>
    <xf numFmtId="205" fontId="6" fillId="0" borderId="19" xfId="1139" applyNumberFormat="1" applyFont="1" applyFill="1" applyBorder="1" applyAlignment="1" applyProtection="1">
      <alignment horizontal="center" vertical="center" wrapText="1"/>
      <protection/>
    </xf>
    <xf numFmtId="205" fontId="5" fillId="0" borderId="19" xfId="1139" applyNumberFormat="1" applyFont="1" applyBorder="1" applyAlignment="1">
      <alignment horizontal="center" vertical="center" wrapText="1"/>
      <protection/>
    </xf>
    <xf numFmtId="206" fontId="0" fillId="0" borderId="0" xfId="1139" applyNumberFormat="1">
      <alignment vertical="center"/>
      <protection/>
    </xf>
    <xf numFmtId="206" fontId="0" fillId="0" borderId="0" xfId="1139" applyNumberFormat="1" applyFill="1">
      <alignment vertical="center"/>
      <protection/>
    </xf>
    <xf numFmtId="0" fontId="9" fillId="0" borderId="0" xfId="1139" applyFont="1">
      <alignment vertical="center"/>
      <protection/>
    </xf>
    <xf numFmtId="206" fontId="4" fillId="0" borderId="0" xfId="1139" applyNumberFormat="1" applyFont="1" applyFill="1" applyBorder="1" applyAlignment="1" applyProtection="1">
      <alignment horizontal="center" vertical="center"/>
      <protection/>
    </xf>
    <xf numFmtId="0" fontId="7" fillId="0" borderId="0" xfId="1139" applyNumberFormat="1" applyFont="1" applyFill="1" applyBorder="1" applyAlignment="1" applyProtection="1">
      <alignment horizontal="right" vertical="center"/>
      <protection/>
    </xf>
    <xf numFmtId="206" fontId="5" fillId="0" borderId="22" xfId="1139" applyNumberFormat="1" applyFont="1" applyBorder="1" applyAlignment="1">
      <alignment horizontal="right" vertical="center"/>
      <protection/>
    </xf>
    <xf numFmtId="209" fontId="6" fillId="0" borderId="19" xfId="1139" applyNumberFormat="1" applyFont="1" applyFill="1" applyBorder="1" applyAlignment="1" applyProtection="1">
      <alignment horizontal="center" vertical="center" wrapText="1"/>
      <protection/>
    </xf>
    <xf numFmtId="207" fontId="5" fillId="0" borderId="19" xfId="1140" applyNumberFormat="1" applyFont="1" applyFill="1" applyBorder="1" applyAlignment="1" applyProtection="1">
      <alignment horizontal="left" vertical="center" wrapText="1"/>
      <protection/>
    </xf>
    <xf numFmtId="206" fontId="5" fillId="0" borderId="19" xfId="1139" applyNumberFormat="1" applyFont="1" applyBorder="1" applyAlignment="1">
      <alignment horizontal="center" vertical="center"/>
      <protection/>
    </xf>
    <xf numFmtId="207" fontId="5" fillId="0" borderId="19" xfId="1139" applyNumberFormat="1" applyFont="1" applyBorder="1" applyAlignment="1">
      <alignment vertical="center"/>
      <protection/>
    </xf>
    <xf numFmtId="206" fontId="6" fillId="0" borderId="19" xfId="1139" applyNumberFormat="1" applyFont="1" applyFill="1" applyBorder="1" applyAlignment="1" applyProtection="1">
      <alignment horizontal="center" vertical="center"/>
      <protection/>
    </xf>
    <xf numFmtId="207" fontId="6" fillId="0" borderId="19" xfId="1139" applyNumberFormat="1" applyFont="1" applyFill="1" applyBorder="1" applyAlignment="1" applyProtection="1">
      <alignment horizontal="center" vertical="center" wrapText="1"/>
      <protection/>
    </xf>
    <xf numFmtId="0" fontId="5" fillId="0" borderId="19" xfId="1139" applyFont="1" applyFill="1" applyBorder="1" applyAlignment="1">
      <alignment horizontal="center" vertical="center"/>
      <protection/>
    </xf>
    <xf numFmtId="206" fontId="5" fillId="0" borderId="19" xfId="1139" applyNumberFormat="1" applyFont="1" applyBorder="1">
      <alignment vertical="center"/>
      <protection/>
    </xf>
    <xf numFmtId="206" fontId="5" fillId="0" borderId="19" xfId="1139" applyNumberFormat="1" applyFont="1" applyFill="1" applyBorder="1" applyAlignment="1">
      <alignment horizontal="center" vertical="center"/>
      <protection/>
    </xf>
    <xf numFmtId="0" fontId="6" fillId="0" borderId="19" xfId="1139" applyNumberFormat="1" applyFont="1" applyFill="1" applyBorder="1" applyAlignment="1" applyProtection="1">
      <alignment horizontal="left" vertical="center" wrapText="1"/>
      <protection/>
    </xf>
    <xf numFmtId="206" fontId="5" fillId="0" borderId="19" xfId="1139" applyNumberFormat="1" applyFont="1" applyFill="1" applyBorder="1">
      <alignment vertical="center"/>
      <protection/>
    </xf>
    <xf numFmtId="0" fontId="5" fillId="0" borderId="19" xfId="1139" applyFont="1" applyBorder="1">
      <alignment vertical="center"/>
      <protection/>
    </xf>
    <xf numFmtId="4" fontId="0" fillId="0" borderId="0" xfId="0" applyNumberFormat="1" applyAlignment="1">
      <alignment/>
    </xf>
    <xf numFmtId="0" fontId="0" fillId="0" borderId="0" xfId="1139" applyFont="1">
      <alignment vertical="center"/>
      <protection/>
    </xf>
    <xf numFmtId="0" fontId="0" fillId="0" borderId="0" xfId="1139" applyBorder="1">
      <alignment vertical="center"/>
      <protection/>
    </xf>
    <xf numFmtId="206" fontId="6" fillId="0" borderId="0" xfId="1139" applyNumberFormat="1" applyFont="1" applyFill="1" applyBorder="1" applyAlignment="1" applyProtection="1">
      <alignment horizontal="left" vertical="center" wrapText="1"/>
      <protection/>
    </xf>
    <xf numFmtId="205" fontId="5" fillId="0" borderId="22" xfId="0" applyNumberFormat="1" applyFont="1" applyBorder="1" applyAlignment="1">
      <alignment horizontal="right"/>
    </xf>
    <xf numFmtId="206" fontId="6" fillId="0" borderId="19" xfId="1140" applyNumberFormat="1" applyFont="1" applyFill="1" applyBorder="1" applyAlignment="1" applyProtection="1">
      <alignment horizontal="center" vertical="center" wrapText="1"/>
      <protection/>
    </xf>
    <xf numFmtId="206" fontId="6" fillId="0" borderId="13" xfId="1140" applyNumberFormat="1" applyFont="1" applyFill="1" applyBorder="1" applyAlignment="1" applyProtection="1">
      <alignment horizontal="center" vertical="center" wrapText="1"/>
      <protection/>
    </xf>
    <xf numFmtId="205" fontId="6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left"/>
    </xf>
    <xf numFmtId="206" fontId="0" fillId="0" borderId="0" xfId="0" applyNumberFormat="1" applyAlignment="1">
      <alignment horizontal="left"/>
    </xf>
    <xf numFmtId="206" fontId="3" fillId="0" borderId="0" xfId="0" applyNumberFormat="1" applyFont="1" applyAlignment="1">
      <alignment horizontal="center"/>
    </xf>
    <xf numFmtId="206" fontId="3" fillId="0" borderId="0" xfId="0" applyNumberFormat="1" applyFont="1" applyAlignment="1">
      <alignment horizontal="left"/>
    </xf>
    <xf numFmtId="207" fontId="6" fillId="0" borderId="19" xfId="1140" applyNumberFormat="1" applyFont="1" applyFill="1" applyBorder="1" applyAlignment="1" applyProtection="1">
      <alignment horizontal="center" vertical="center" wrapText="1"/>
      <protection/>
    </xf>
    <xf numFmtId="207" fontId="5" fillId="0" borderId="19" xfId="0" applyNumberFormat="1" applyFont="1" applyFill="1" applyBorder="1" applyAlignment="1">
      <alignment horizontal="center" vertical="center"/>
    </xf>
    <xf numFmtId="207" fontId="5" fillId="0" borderId="0" xfId="0" applyNumberFormat="1" applyFont="1" applyAlignment="1">
      <alignment/>
    </xf>
    <xf numFmtId="206" fontId="6" fillId="0" borderId="13" xfId="0" applyNumberFormat="1" applyFont="1" applyFill="1" applyBorder="1" applyAlignment="1" applyProtection="1">
      <alignment horizontal="center" vertical="center" wrapText="1"/>
      <protection/>
    </xf>
    <xf numFmtId="207" fontId="5" fillId="0" borderId="19" xfId="0" applyNumberFormat="1" applyFont="1" applyFill="1" applyBorder="1" applyAlignment="1">
      <alignment horizontal="center" vertical="center" wrapText="1"/>
    </xf>
    <xf numFmtId="207" fontId="5" fillId="0" borderId="22" xfId="0" applyNumberFormat="1" applyFont="1" applyBorder="1" applyAlignment="1">
      <alignment horizontal="right"/>
    </xf>
    <xf numFmtId="208" fontId="0" fillId="0" borderId="0" xfId="0" applyNumberFormat="1" applyAlignment="1">
      <alignment/>
    </xf>
    <xf numFmtId="0" fontId="0" fillId="0" borderId="0" xfId="1140">
      <alignment vertical="center"/>
      <protection/>
    </xf>
    <xf numFmtId="0" fontId="3" fillId="0" borderId="0" xfId="1140" applyFont="1" applyFill="1" applyAlignment="1">
      <alignment horizontal="left" vertical="center"/>
      <protection/>
    </xf>
    <xf numFmtId="0" fontId="3" fillId="0" borderId="0" xfId="1140" applyFont="1">
      <alignment vertical="center"/>
      <protection/>
    </xf>
    <xf numFmtId="0" fontId="4" fillId="0" borderId="0" xfId="1140" applyNumberFormat="1" applyFont="1" applyFill="1" applyBorder="1" applyAlignment="1" applyProtection="1">
      <alignment horizontal="center" vertical="center"/>
      <protection/>
    </xf>
    <xf numFmtId="0" fontId="0" fillId="0" borderId="0" xfId="1140" applyNumberFormat="1" applyFont="1" applyFill="1" applyBorder="1" applyAlignment="1" applyProtection="1">
      <alignment/>
      <protection/>
    </xf>
    <xf numFmtId="0" fontId="5" fillId="0" borderId="0" xfId="1140" applyFont="1" applyAlignment="1">
      <alignment horizontal="right" vertical="center"/>
      <protection/>
    </xf>
    <xf numFmtId="0" fontId="6" fillId="0" borderId="19" xfId="1140" applyNumberFormat="1" applyFont="1" applyFill="1" applyBorder="1" applyAlignment="1" applyProtection="1">
      <alignment horizontal="center" vertical="center" wrapText="1"/>
      <protection/>
    </xf>
    <xf numFmtId="205" fontId="6" fillId="0" borderId="19" xfId="1140" applyNumberFormat="1" applyFont="1" applyFill="1" applyBorder="1" applyAlignment="1" applyProtection="1">
      <alignment horizontal="center" vertical="center" wrapText="1"/>
      <protection/>
    </xf>
    <xf numFmtId="205" fontId="5" fillId="0" borderId="19" xfId="1140" applyNumberFormat="1" applyFont="1" applyBorder="1" applyAlignment="1">
      <alignment horizontal="center" vertical="center"/>
      <protection/>
    </xf>
    <xf numFmtId="206" fontId="5" fillId="0" borderId="19" xfId="1140" applyNumberFormat="1" applyFont="1" applyBorder="1" applyAlignment="1">
      <alignment horizontal="center" vertical="center"/>
      <protection/>
    </xf>
    <xf numFmtId="0" fontId="0" fillId="0" borderId="0" xfId="1140" applyFont="1">
      <alignment vertical="center"/>
      <protection/>
    </xf>
    <xf numFmtId="206" fontId="0" fillId="0" borderId="0" xfId="1140" applyNumberFormat="1">
      <alignment vertical="center"/>
      <protection/>
    </xf>
    <xf numFmtId="207" fontId="0" fillId="0" borderId="0" xfId="1140" applyNumberFormat="1">
      <alignment vertical="center"/>
      <protection/>
    </xf>
    <xf numFmtId="207" fontId="7" fillId="0" borderId="0" xfId="1140" applyNumberFormat="1" applyFont="1" applyFill="1" applyBorder="1" applyAlignment="1" applyProtection="1">
      <alignment horizontal="right" vertical="center"/>
      <protection/>
    </xf>
    <xf numFmtId="206" fontId="5" fillId="0" borderId="22" xfId="1140" applyNumberFormat="1" applyFont="1" applyBorder="1" applyAlignment="1">
      <alignment horizontal="right" vertical="center"/>
      <protection/>
    </xf>
    <xf numFmtId="0" fontId="5" fillId="0" borderId="19" xfId="1140" applyNumberFormat="1" applyFont="1" applyFill="1" applyBorder="1" applyAlignment="1" applyProtection="1">
      <alignment horizontal="center" vertical="center" wrapText="1"/>
      <protection/>
    </xf>
    <xf numFmtId="209" fontId="5" fillId="0" borderId="19" xfId="1140" applyNumberFormat="1" applyFont="1" applyFill="1" applyBorder="1" applyAlignment="1" applyProtection="1">
      <alignment horizontal="center" vertical="center" wrapText="1"/>
      <protection/>
    </xf>
    <xf numFmtId="206" fontId="5" fillId="0" borderId="19" xfId="1140" applyNumberFormat="1" applyFont="1" applyFill="1" applyBorder="1" applyAlignment="1">
      <alignment horizontal="center" vertical="center"/>
      <protection/>
    </xf>
    <xf numFmtId="206" fontId="5" fillId="0" borderId="23" xfId="1140" applyNumberFormat="1" applyFont="1" applyFill="1" applyBorder="1" applyAlignment="1">
      <alignment horizontal="center" vertical="center"/>
      <protection/>
    </xf>
    <xf numFmtId="206" fontId="6" fillId="0" borderId="19" xfId="1140" applyNumberFormat="1" applyFont="1" applyFill="1" applyBorder="1" applyAlignment="1" applyProtection="1">
      <alignment horizontal="center" vertical="center"/>
      <protection/>
    </xf>
    <xf numFmtId="206" fontId="6" fillId="0" borderId="25" xfId="0" applyNumberFormat="1" applyFont="1" applyFill="1" applyBorder="1" applyAlignment="1" applyProtection="1">
      <alignment horizontal="center" vertical="center"/>
      <protection/>
    </xf>
    <xf numFmtId="206" fontId="6" fillId="0" borderId="26" xfId="0" applyNumberFormat="1" applyFont="1" applyFill="1" applyBorder="1" applyAlignment="1" applyProtection="1">
      <alignment horizontal="center" vertical="center"/>
      <protection/>
    </xf>
    <xf numFmtId="206" fontId="5" fillId="0" borderId="19" xfId="1140" applyNumberFormat="1" applyFont="1" applyFill="1" applyBorder="1">
      <alignment vertical="center"/>
      <protection/>
    </xf>
    <xf numFmtId="206" fontId="6" fillId="0" borderId="27" xfId="0" applyNumberFormat="1" applyFont="1" applyFill="1" applyBorder="1" applyAlignment="1" applyProtection="1">
      <alignment horizontal="center" vertical="center"/>
      <protection/>
    </xf>
    <xf numFmtId="0" fontId="5" fillId="0" borderId="19" xfId="1140" applyFont="1" applyFill="1" applyBorder="1">
      <alignment vertical="center"/>
      <protection/>
    </xf>
    <xf numFmtId="207" fontId="5" fillId="0" borderId="19" xfId="1140" applyNumberFormat="1" applyFont="1" applyFill="1" applyBorder="1" applyAlignment="1">
      <alignment horizontal="center" vertical="center" wrapText="1"/>
      <protection/>
    </xf>
    <xf numFmtId="0" fontId="5" fillId="0" borderId="21" xfId="1140" applyNumberFormat="1" applyFont="1" applyFill="1" applyBorder="1" applyAlignment="1" applyProtection="1">
      <alignment horizontal="left" vertical="center" wrapText="1"/>
      <protection/>
    </xf>
    <xf numFmtId="206" fontId="6" fillId="0" borderId="28" xfId="0" applyNumberFormat="1" applyFont="1" applyFill="1" applyBorder="1" applyAlignment="1" applyProtection="1">
      <alignment horizontal="center" vertical="center"/>
      <protection/>
    </xf>
    <xf numFmtId="0" fontId="10" fillId="0" borderId="0" xfId="374" applyAlignment="1">
      <alignment vertical="center"/>
      <protection/>
    </xf>
    <xf numFmtId="10" fontId="10" fillId="0" borderId="0" xfId="374" applyNumberFormat="1" applyAlignment="1">
      <alignment vertical="center"/>
      <protection/>
    </xf>
    <xf numFmtId="0" fontId="3" fillId="0" borderId="0" xfId="374" applyFont="1" applyAlignment="1">
      <alignment vertical="center"/>
      <protection/>
    </xf>
    <xf numFmtId="0" fontId="11" fillId="0" borderId="0" xfId="374" applyFont="1" applyAlignment="1">
      <alignment horizontal="center" vertical="center"/>
      <protection/>
    </xf>
    <xf numFmtId="10" fontId="12" fillId="0" borderId="0" xfId="374" applyNumberFormat="1" applyFont="1" applyAlignment="1">
      <alignment horizontal="right" vertical="center"/>
      <protection/>
    </xf>
    <xf numFmtId="0" fontId="5" fillId="0" borderId="19" xfId="374" applyFont="1" applyBorder="1" applyAlignment="1">
      <alignment horizontal="center" vertical="center"/>
      <protection/>
    </xf>
    <xf numFmtId="0" fontId="5" fillId="0" borderId="19" xfId="374" applyFont="1" applyBorder="1" applyAlignment="1">
      <alignment horizontal="center" vertical="center" wrapText="1"/>
      <protection/>
    </xf>
    <xf numFmtId="207" fontId="5" fillId="15" borderId="19" xfId="0" applyNumberFormat="1" applyFont="1" applyFill="1" applyBorder="1" applyAlignment="1">
      <alignment horizontal="center" vertical="center" wrapText="1"/>
    </xf>
    <xf numFmtId="0" fontId="5" fillId="0" borderId="19" xfId="374" applyFont="1" applyFill="1" applyBorder="1" applyAlignment="1">
      <alignment horizontal="left" vertical="center"/>
      <protection/>
    </xf>
    <xf numFmtId="205" fontId="5" fillId="0" borderId="19" xfId="374" applyNumberFormat="1" applyFont="1" applyFill="1" applyBorder="1" applyAlignment="1">
      <alignment horizontal="center" vertical="center" wrapText="1"/>
      <protection/>
    </xf>
    <xf numFmtId="207" fontId="5" fillId="0" borderId="19" xfId="374" applyNumberFormat="1" applyFont="1" applyFill="1" applyBorder="1" applyAlignment="1">
      <alignment horizontal="center" vertical="center" wrapText="1"/>
      <protection/>
    </xf>
    <xf numFmtId="0" fontId="5" fillId="0" borderId="19" xfId="374" applyFont="1" applyBorder="1" applyAlignment="1">
      <alignment horizontal="left" vertical="center" wrapText="1"/>
      <protection/>
    </xf>
    <xf numFmtId="205" fontId="5" fillId="0" borderId="19" xfId="374" applyNumberFormat="1" applyFont="1" applyBorder="1" applyAlignment="1">
      <alignment horizontal="center" vertical="center" wrapText="1"/>
      <protection/>
    </xf>
    <xf numFmtId="0" fontId="5" fillId="0" borderId="19" xfId="374" applyFont="1" applyFill="1" applyBorder="1" applyAlignment="1">
      <alignment horizontal="left" vertical="center" wrapText="1"/>
      <protection/>
    </xf>
    <xf numFmtId="0" fontId="13" fillId="0" borderId="19" xfId="374" applyFont="1" applyFill="1" applyBorder="1" applyAlignment="1">
      <alignment horizontal="left" vertical="center"/>
      <protection/>
    </xf>
    <xf numFmtId="0" fontId="5" fillId="0" borderId="19" xfId="374" applyFont="1" applyBorder="1" applyAlignment="1">
      <alignment horizontal="left" vertical="center"/>
      <protection/>
    </xf>
    <xf numFmtId="205" fontId="10" fillId="0" borderId="0" xfId="374" applyNumberFormat="1" applyAlignment="1">
      <alignment vertical="center"/>
      <protection/>
    </xf>
    <xf numFmtId="205" fontId="5" fillId="0" borderId="19" xfId="374" applyNumberFormat="1" applyFont="1" applyFill="1" applyBorder="1" applyAlignment="1">
      <alignment horizontal="center" vertical="center"/>
      <protection/>
    </xf>
    <xf numFmtId="0" fontId="5" fillId="0" borderId="19" xfId="374" applyNumberFormat="1" applyFont="1" applyFill="1" applyBorder="1" applyAlignment="1">
      <alignment horizontal="center" vertical="center"/>
      <protection/>
    </xf>
    <xf numFmtId="207" fontId="5" fillId="0" borderId="19" xfId="374" applyNumberFormat="1" applyFont="1" applyFill="1" applyBorder="1" applyAlignment="1">
      <alignment horizontal="center" vertical="center"/>
      <protection/>
    </xf>
    <xf numFmtId="0" fontId="5" fillId="0" borderId="19" xfId="374" applyFont="1" applyBorder="1" applyAlignment="1">
      <alignment vertical="center"/>
      <protection/>
    </xf>
    <xf numFmtId="205" fontId="5" fillId="0" borderId="19" xfId="374" applyNumberFormat="1" applyFont="1" applyBorder="1" applyAlignment="1">
      <alignment vertical="center"/>
      <protection/>
    </xf>
    <xf numFmtId="0" fontId="13" fillId="0" borderId="19" xfId="374" applyFont="1" applyFill="1" applyBorder="1" applyAlignment="1">
      <alignment horizontal="center" vertical="center"/>
      <protection/>
    </xf>
    <xf numFmtId="0" fontId="5" fillId="0" borderId="19" xfId="374" applyFont="1" applyFill="1" applyBorder="1" applyAlignment="1">
      <alignment horizontal="center" vertical="center"/>
      <protection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vertical="center"/>
    </xf>
    <xf numFmtId="205" fontId="0" fillId="0" borderId="0" xfId="0" applyNumberFormat="1" applyFill="1" applyAlignment="1">
      <alignment horizontal="center"/>
    </xf>
    <xf numFmtId="207" fontId="0" fillId="0" borderId="0" xfId="0" applyNumberFormat="1" applyFill="1" applyAlignment="1">
      <alignment horizontal="center"/>
    </xf>
    <xf numFmtId="205" fontId="15" fillId="0" borderId="0" xfId="0" applyNumberFormat="1" applyFont="1" applyFill="1" applyAlignment="1">
      <alignment horizontal="center"/>
    </xf>
    <xf numFmtId="0" fontId="11" fillId="0" borderId="0" xfId="0" applyFont="1" applyFill="1" applyAlignment="1">
      <alignment horizontal="center" vertical="center" wrapText="1"/>
    </xf>
    <xf numFmtId="0" fontId="14" fillId="0" borderId="0" xfId="0" applyFont="1" applyFill="1" applyAlignment="1">
      <alignment vertical="top"/>
    </xf>
    <xf numFmtId="205" fontId="14" fillId="0" borderId="0" xfId="0" applyNumberFormat="1" applyFont="1" applyFill="1" applyAlignment="1">
      <alignment horizontal="center"/>
    </xf>
    <xf numFmtId="207" fontId="14" fillId="0" borderId="0" xfId="0" applyNumberFormat="1" applyFont="1" applyFill="1" applyAlignment="1">
      <alignment horizontal="center"/>
    </xf>
    <xf numFmtId="0" fontId="5" fillId="0" borderId="19" xfId="0" applyFont="1" applyFill="1" applyBorder="1" applyAlignment="1">
      <alignment horizontal="center" vertical="center"/>
    </xf>
    <xf numFmtId="0" fontId="5" fillId="15" borderId="23" xfId="0" applyFont="1" applyFill="1" applyBorder="1" applyAlignment="1">
      <alignment horizontal="center" vertical="center"/>
    </xf>
    <xf numFmtId="0" fontId="5" fillId="15" borderId="18" xfId="0" applyFont="1" applyFill="1" applyBorder="1" applyAlignment="1">
      <alignment horizontal="center" vertical="center"/>
    </xf>
    <xf numFmtId="0" fontId="5" fillId="15" borderId="24" xfId="0" applyFont="1" applyFill="1" applyBorder="1" applyAlignment="1">
      <alignment horizontal="center" vertical="center"/>
    </xf>
    <xf numFmtId="205" fontId="5" fillId="15" borderId="19" xfId="0" applyNumberFormat="1" applyFont="1" applyFill="1" applyBorder="1" applyAlignment="1">
      <alignment horizontal="center" vertical="center" wrapText="1"/>
    </xf>
    <xf numFmtId="0" fontId="16" fillId="0" borderId="19" xfId="0" applyFont="1" applyFill="1" applyBorder="1" applyAlignment="1">
      <alignment horizontal="left" vertical="center"/>
    </xf>
    <xf numFmtId="205" fontId="5" fillId="0" borderId="19" xfId="1127" applyNumberFormat="1" applyFont="1" applyFill="1" applyBorder="1" applyAlignment="1">
      <alignment horizontal="center" vertical="center"/>
      <protection/>
    </xf>
    <xf numFmtId="205" fontId="5" fillId="0" borderId="19" xfId="0" applyNumberFormat="1" applyFont="1" applyFill="1" applyBorder="1" applyAlignment="1">
      <alignment horizontal="center" vertical="center" wrapText="1"/>
    </xf>
    <xf numFmtId="0" fontId="5" fillId="0" borderId="19" xfId="0" applyFont="1" applyFill="1" applyBorder="1" applyAlignment="1" applyProtection="1">
      <alignment vertical="center"/>
      <protection locked="0"/>
    </xf>
    <xf numFmtId="205" fontId="5" fillId="0" borderId="19" xfId="1128" applyNumberFormat="1" applyFont="1" applyFill="1" applyBorder="1" applyAlignment="1">
      <alignment horizontal="center" vertical="center"/>
      <protection/>
    </xf>
    <xf numFmtId="205" fontId="5" fillId="0" borderId="19" xfId="1127" applyNumberFormat="1" applyFont="1" applyFill="1" applyBorder="1" applyAlignment="1" applyProtection="1">
      <alignment horizontal="center" vertical="center"/>
      <protection locked="0"/>
    </xf>
    <xf numFmtId="3" fontId="17" fillId="0" borderId="19" xfId="613" applyNumberFormat="1" applyFont="1" applyFill="1" applyBorder="1" applyAlignment="1" applyProtection="1">
      <alignment vertical="center"/>
      <protection/>
    </xf>
    <xf numFmtId="205" fontId="5" fillId="0" borderId="19" xfId="0" applyNumberFormat="1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 wrapText="1"/>
    </xf>
    <xf numFmtId="205" fontId="6" fillId="0" borderId="19" xfId="0" applyNumberFormat="1" applyFont="1" applyFill="1" applyBorder="1" applyAlignment="1">
      <alignment horizontal="center" vertical="center"/>
    </xf>
    <xf numFmtId="0" fontId="14" fillId="0" borderId="19" xfId="0" applyFont="1" applyFill="1" applyBorder="1" applyAlignment="1">
      <alignment vertical="center"/>
    </xf>
    <xf numFmtId="205" fontId="6" fillId="15" borderId="19" xfId="0" applyNumberFormat="1" applyFont="1" applyFill="1" applyBorder="1" applyAlignment="1">
      <alignment horizontal="center" vertical="center"/>
    </xf>
    <xf numFmtId="205" fontId="6" fillId="0" borderId="19" xfId="1127" applyNumberFormat="1" applyFont="1" applyBorder="1" applyAlignment="1">
      <alignment horizontal="center" vertical="center"/>
      <protection/>
    </xf>
    <xf numFmtId="205" fontId="6" fillId="0" borderId="19" xfId="0" applyNumberFormat="1" applyFont="1" applyBorder="1" applyAlignment="1">
      <alignment horizontal="center" vertical="center"/>
    </xf>
    <xf numFmtId="0" fontId="14" fillId="0" borderId="19" xfId="0" applyFont="1" applyFill="1" applyBorder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/>
    </xf>
    <xf numFmtId="205" fontId="0" fillId="0" borderId="0" xfId="0" applyNumberFormat="1" applyAlignment="1">
      <alignment horizontal="center"/>
    </xf>
    <xf numFmtId="207" fontId="0" fillId="0" borderId="0" xfId="0" applyNumberFormat="1" applyAlignment="1">
      <alignment horizontal="center" vertical="center"/>
    </xf>
    <xf numFmtId="0" fontId="11" fillId="0" borderId="0" xfId="0" applyFont="1" applyAlignment="1">
      <alignment horizontal="center"/>
    </xf>
    <xf numFmtId="0" fontId="3" fillId="0" borderId="0" xfId="0" applyFont="1" applyAlignment="1">
      <alignment vertical="top"/>
    </xf>
    <xf numFmtId="0" fontId="5" fillId="15" borderId="19" xfId="0" applyFont="1" applyFill="1" applyBorder="1" applyAlignment="1">
      <alignment horizontal="center" vertical="center"/>
    </xf>
    <xf numFmtId="0" fontId="5" fillId="0" borderId="19" xfId="0" applyFont="1" applyBorder="1" applyAlignment="1" applyProtection="1">
      <alignment vertical="center"/>
      <protection locked="0"/>
    </xf>
    <xf numFmtId="205" fontId="5" fillId="0" borderId="19" xfId="596" applyNumberFormat="1" applyFont="1" applyBorder="1" applyAlignment="1">
      <alignment horizontal="center" vertical="center"/>
      <protection/>
    </xf>
    <xf numFmtId="207" fontId="5" fillId="15" borderId="19" xfId="0" applyNumberFormat="1" applyFont="1" applyFill="1" applyBorder="1" applyAlignment="1">
      <alignment horizontal="center" vertical="center"/>
    </xf>
    <xf numFmtId="205" fontId="5" fillId="0" borderId="19" xfId="1143" applyNumberFormat="1" applyFont="1" applyBorder="1" applyAlignment="1">
      <alignment horizontal="center" vertical="center"/>
      <protection/>
    </xf>
    <xf numFmtId="207" fontId="5" fillId="0" borderId="19" xfId="1141" applyNumberFormat="1" applyFont="1" applyBorder="1" applyAlignment="1">
      <alignment horizontal="center" vertical="center"/>
      <protection/>
    </xf>
    <xf numFmtId="205" fontId="5" fillId="0" borderId="19" xfId="1142" applyNumberFormat="1" applyFont="1" applyBorder="1" applyAlignment="1">
      <alignment horizontal="center" vertical="center"/>
      <protection/>
    </xf>
    <xf numFmtId="205" fontId="3" fillId="0" borderId="19" xfId="0" applyNumberFormat="1" applyFont="1" applyBorder="1" applyAlignment="1">
      <alignment horizontal="center" vertical="center" wrapText="1"/>
    </xf>
    <xf numFmtId="0" fontId="5" fillId="0" borderId="19" xfId="0" applyFont="1" applyBorder="1" applyAlignment="1">
      <alignment vertical="center"/>
    </xf>
    <xf numFmtId="0" fontId="3" fillId="0" borderId="19" xfId="0" applyFont="1" applyBorder="1" applyAlignment="1">
      <alignment horizontal="center" vertical="center"/>
    </xf>
    <xf numFmtId="206" fontId="5" fillId="15" borderId="19" xfId="0" applyNumberFormat="1" applyFont="1" applyFill="1" applyBorder="1" applyAlignment="1">
      <alignment horizontal="center" vertical="center" wrapText="1"/>
    </xf>
    <xf numFmtId="205" fontId="5" fillId="0" borderId="19" xfId="1145" applyNumberFormat="1" applyFont="1" applyBorder="1" applyAlignment="1">
      <alignment horizontal="center" vertical="center"/>
      <protection/>
    </xf>
    <xf numFmtId="0" fontId="3" fillId="0" borderId="19" xfId="0" applyFont="1" applyBorder="1" applyAlignment="1">
      <alignment vertical="center"/>
    </xf>
    <xf numFmtId="0" fontId="18" fillId="0" borderId="0" xfId="613" applyFont="1" applyFill="1">
      <alignment/>
      <protection/>
    </xf>
    <xf numFmtId="0" fontId="19" fillId="0" borderId="0" xfId="613" applyFont="1" applyFill="1">
      <alignment/>
      <protection/>
    </xf>
    <xf numFmtId="49" fontId="19" fillId="0" borderId="0" xfId="613" applyNumberFormat="1" applyFont="1" applyFill="1" applyAlignment="1">
      <alignment horizontal="center"/>
      <protection/>
    </xf>
    <xf numFmtId="205" fontId="19" fillId="0" borderId="0" xfId="613" applyNumberFormat="1" applyFont="1" applyFill="1" applyAlignment="1">
      <alignment horizontal="center"/>
      <protection/>
    </xf>
    <xf numFmtId="205" fontId="19" fillId="0" borderId="0" xfId="613" applyNumberFormat="1" applyFont="1" applyFill="1">
      <alignment/>
      <protection/>
    </xf>
    <xf numFmtId="207" fontId="19" fillId="0" borderId="0" xfId="613" applyNumberFormat="1" applyFont="1" applyFill="1">
      <alignment/>
      <protection/>
    </xf>
    <xf numFmtId="0" fontId="3" fillId="0" borderId="0" xfId="613" applyFont="1" applyFill="1">
      <alignment/>
      <protection/>
    </xf>
    <xf numFmtId="49" fontId="3" fillId="0" borderId="0" xfId="613" applyNumberFormat="1" applyFont="1" applyFill="1" applyAlignment="1">
      <alignment horizontal="center"/>
      <protection/>
    </xf>
    <xf numFmtId="0" fontId="11" fillId="0" borderId="0" xfId="613" applyFont="1" applyFill="1" applyAlignment="1">
      <alignment horizontal="center"/>
      <protection/>
    </xf>
    <xf numFmtId="0" fontId="20" fillId="0" borderId="0" xfId="613" applyFont="1" applyFill="1">
      <alignment/>
      <protection/>
    </xf>
    <xf numFmtId="49" fontId="20" fillId="0" borderId="0" xfId="613" applyNumberFormat="1" applyFont="1" applyFill="1" applyAlignment="1">
      <alignment horizontal="center"/>
      <protection/>
    </xf>
    <xf numFmtId="0" fontId="5" fillId="0" borderId="16" xfId="613" applyFont="1" applyFill="1" applyBorder="1" applyAlignment="1">
      <alignment horizontal="left" vertical="center" wrapText="1"/>
      <protection/>
    </xf>
    <xf numFmtId="49" fontId="5" fillId="0" borderId="16" xfId="613" applyNumberFormat="1" applyFont="1" applyFill="1" applyBorder="1" applyAlignment="1">
      <alignment horizontal="center" vertical="center" wrapText="1"/>
      <protection/>
    </xf>
    <xf numFmtId="205" fontId="5" fillId="0" borderId="16" xfId="613" applyNumberFormat="1" applyFont="1" applyFill="1" applyBorder="1" applyAlignment="1">
      <alignment horizontal="center" vertical="center" wrapText="1"/>
      <protection/>
    </xf>
    <xf numFmtId="207" fontId="5" fillId="15" borderId="16" xfId="1138" applyNumberFormat="1" applyFont="1" applyFill="1" applyBorder="1" applyAlignment="1">
      <alignment horizontal="center" vertical="center" wrapText="1"/>
      <protection/>
    </xf>
    <xf numFmtId="0" fontId="5" fillId="0" borderId="16" xfId="613" applyFont="1" applyFill="1" applyBorder="1" applyAlignment="1">
      <alignment horizontal="center" vertical="center" wrapText="1"/>
      <protection/>
    </xf>
    <xf numFmtId="0" fontId="5" fillId="0" borderId="23" xfId="0" applyFont="1" applyFill="1" applyBorder="1" applyAlignment="1">
      <alignment horizontal="center" vertical="center" wrapText="1"/>
    </xf>
    <xf numFmtId="3" fontId="5" fillId="0" borderId="19" xfId="613" applyNumberFormat="1" applyFont="1" applyFill="1" applyBorder="1" applyAlignment="1" applyProtection="1">
      <alignment horizontal="left" vertical="center" wrapText="1"/>
      <protection/>
    </xf>
    <xf numFmtId="49" fontId="5" fillId="0" borderId="19" xfId="613" applyNumberFormat="1" applyFont="1" applyFill="1" applyBorder="1" applyAlignment="1" applyProtection="1">
      <alignment horizontal="left" vertical="center" wrapText="1"/>
      <protection/>
    </xf>
    <xf numFmtId="205" fontId="5" fillId="0" borderId="19" xfId="613" applyNumberFormat="1" applyFont="1" applyFill="1" applyBorder="1" applyAlignment="1">
      <alignment horizontal="center" vertical="center" wrapText="1"/>
      <protection/>
    </xf>
    <xf numFmtId="207" fontId="5" fillId="0" borderId="19" xfId="1118" applyNumberFormat="1" applyFont="1" applyBorder="1" applyAlignment="1" applyProtection="1">
      <alignment horizontal="center" vertical="center" wrapText="1"/>
      <protection locked="0"/>
    </xf>
    <xf numFmtId="205" fontId="5" fillId="15" borderId="19" xfId="613" applyNumberFormat="1" applyFont="1" applyFill="1" applyBorder="1" applyAlignment="1">
      <alignment horizontal="center" vertical="center" wrapText="1"/>
      <protection/>
    </xf>
    <xf numFmtId="205" fontId="5" fillId="0" borderId="19" xfId="0" applyNumberFormat="1" applyFont="1" applyFill="1" applyBorder="1" applyAlignment="1" applyProtection="1">
      <alignment horizontal="left" vertical="center" wrapText="1"/>
      <protection/>
    </xf>
    <xf numFmtId="207" fontId="5" fillId="0" borderId="19" xfId="613" applyNumberFormat="1" applyFont="1" applyFill="1" applyBorder="1" applyAlignment="1">
      <alignment horizontal="center" vertical="center" wrapText="1"/>
      <protection/>
    </xf>
    <xf numFmtId="3" fontId="21" fillId="0" borderId="19" xfId="613" applyNumberFormat="1" applyFont="1" applyFill="1" applyBorder="1" applyAlignment="1" applyProtection="1">
      <alignment horizontal="left" vertical="center" wrapText="1"/>
      <protection/>
    </xf>
    <xf numFmtId="49" fontId="21" fillId="0" borderId="19" xfId="613" applyNumberFormat="1" applyFont="1" applyFill="1" applyBorder="1" applyAlignment="1" applyProtection="1">
      <alignment horizontal="left" vertical="center" wrapText="1"/>
      <protection/>
    </xf>
    <xf numFmtId="205" fontId="21" fillId="0" borderId="19" xfId="613" applyNumberFormat="1" applyFont="1" applyFill="1" applyBorder="1" applyAlignment="1">
      <alignment horizontal="center" vertical="center" wrapText="1"/>
      <protection/>
    </xf>
    <xf numFmtId="207" fontId="21" fillId="0" borderId="19" xfId="613" applyNumberFormat="1" applyFont="1" applyFill="1" applyBorder="1" applyAlignment="1">
      <alignment horizontal="center" vertical="center" wrapText="1"/>
      <protection/>
    </xf>
    <xf numFmtId="205" fontId="21" fillId="0" borderId="19" xfId="0" applyNumberFormat="1" applyFont="1" applyFill="1" applyBorder="1" applyAlignment="1" applyProtection="1">
      <alignment horizontal="left" vertical="center" wrapText="1"/>
      <protection/>
    </xf>
    <xf numFmtId="207" fontId="3" fillId="0" borderId="0" xfId="613" applyNumberFormat="1" applyFont="1" applyFill="1">
      <alignment/>
      <protection/>
    </xf>
    <xf numFmtId="0" fontId="5" fillId="0" borderId="0" xfId="613" applyFont="1" applyFill="1" applyAlignment="1">
      <alignment horizontal="right"/>
      <protection/>
    </xf>
    <xf numFmtId="0" fontId="5" fillId="0" borderId="24" xfId="0" applyFont="1" applyFill="1" applyBorder="1" applyAlignment="1">
      <alignment horizontal="center" vertical="center" wrapText="1"/>
    </xf>
    <xf numFmtId="0" fontId="5" fillId="0" borderId="19" xfId="613" applyFont="1" applyFill="1" applyBorder="1" applyAlignment="1">
      <alignment horizontal="left" vertical="center" wrapText="1"/>
      <protection/>
    </xf>
    <xf numFmtId="3" fontId="5" fillId="0" borderId="19" xfId="0" applyNumberFormat="1" applyFont="1" applyFill="1" applyBorder="1" applyAlignment="1" applyProtection="1">
      <alignment horizontal="left" vertical="center" wrapText="1"/>
      <protection/>
    </xf>
    <xf numFmtId="206" fontId="5" fillId="0" borderId="19" xfId="0" applyNumberFormat="1" applyFont="1" applyFill="1" applyBorder="1" applyAlignment="1">
      <alignment horizontal="center" vertical="center" wrapText="1"/>
    </xf>
    <xf numFmtId="3" fontId="21" fillId="0" borderId="19" xfId="0" applyNumberFormat="1" applyFont="1" applyFill="1" applyBorder="1" applyAlignment="1" applyProtection="1">
      <alignment horizontal="left" vertical="center" wrapText="1"/>
      <protection/>
    </xf>
    <xf numFmtId="43" fontId="21" fillId="0" borderId="19" xfId="613" applyNumberFormat="1" applyFont="1" applyFill="1" applyBorder="1" applyAlignment="1">
      <alignment horizontal="center" vertical="center" wrapText="1"/>
      <protection/>
    </xf>
    <xf numFmtId="207" fontId="21" fillId="0" borderId="19" xfId="1118" applyNumberFormat="1" applyFont="1" applyFill="1" applyBorder="1" applyAlignment="1" applyProtection="1">
      <alignment horizontal="center" vertical="center" wrapText="1"/>
      <protection locked="0"/>
    </xf>
    <xf numFmtId="0" fontId="21" fillId="0" borderId="19" xfId="613" applyFont="1" applyFill="1" applyBorder="1" applyAlignment="1">
      <alignment horizontal="left" vertical="center" wrapText="1"/>
      <protection/>
    </xf>
    <xf numFmtId="0" fontId="22" fillId="0" borderId="0" xfId="613" applyFont="1" applyFill="1" applyAlignment="1">
      <alignment horizontal="center"/>
      <protection/>
    </xf>
    <xf numFmtId="0" fontId="19" fillId="0" borderId="0" xfId="613" applyFont="1" applyFill="1" applyAlignment="1">
      <alignment horizontal="right"/>
      <protection/>
    </xf>
    <xf numFmtId="0" fontId="23" fillId="0" borderId="0" xfId="613" applyFont="1" applyFill="1" applyBorder="1" applyAlignment="1">
      <alignment horizontal="center" vertical="center" wrapText="1"/>
      <protection/>
    </xf>
    <xf numFmtId="0" fontId="24" fillId="0" borderId="0" xfId="613" applyFont="1" applyFill="1" applyBorder="1" applyAlignment="1">
      <alignment horizontal="left" vertical="center" wrapText="1"/>
      <protection/>
    </xf>
    <xf numFmtId="0" fontId="24" fillId="0" borderId="0" xfId="613" applyFont="1" applyFill="1" applyBorder="1" applyAlignment="1">
      <alignment horizontal="center" vertical="center" wrapText="1"/>
      <protection/>
    </xf>
    <xf numFmtId="0" fontId="25" fillId="0" borderId="0" xfId="613" applyFont="1" applyFill="1" applyBorder="1" applyAlignment="1">
      <alignment horizontal="center" vertical="center" wrapText="1"/>
      <protection/>
    </xf>
    <xf numFmtId="0" fontId="0" fillId="0" borderId="0" xfId="0" applyAlignment="1">
      <alignment vertical="center"/>
    </xf>
    <xf numFmtId="206" fontId="0" fillId="0" borderId="0" xfId="0" applyNumberFormat="1" applyFill="1" applyAlignment="1">
      <alignment horizontal="center"/>
    </xf>
    <xf numFmtId="207" fontId="0" fillId="0" borderId="0" xfId="0" applyNumberFormat="1" applyAlignment="1">
      <alignment horizontal="center"/>
    </xf>
    <xf numFmtId="0" fontId="11" fillId="0" borderId="0" xfId="0" applyFont="1" applyAlignment="1">
      <alignment horizontal="center" vertical="center"/>
    </xf>
    <xf numFmtId="207" fontId="5" fillId="0" borderId="0" xfId="0" applyNumberFormat="1" applyFont="1" applyAlignment="1">
      <alignment horizontal="right"/>
    </xf>
    <xf numFmtId="0" fontId="0" fillId="0" borderId="0" xfId="0" applyAlignment="1">
      <alignment vertical="center" wrapText="1"/>
    </xf>
    <xf numFmtId="0" fontId="5" fillId="0" borderId="19" xfId="0" applyFont="1" applyFill="1" applyBorder="1" applyAlignment="1">
      <alignment vertical="center"/>
    </xf>
    <xf numFmtId="206" fontId="5" fillId="0" borderId="19" xfId="1147" applyNumberFormat="1" applyFont="1" applyFill="1" applyBorder="1" applyAlignment="1">
      <alignment horizontal="center" vertical="center"/>
      <protection/>
    </xf>
    <xf numFmtId="207" fontId="5" fillId="0" borderId="19" xfId="1147" applyNumberFormat="1" applyFont="1" applyFill="1" applyBorder="1" applyAlignment="1">
      <alignment horizontal="center" vertical="center"/>
      <protection/>
    </xf>
    <xf numFmtId="0" fontId="5" fillId="0" borderId="0" xfId="0" applyFont="1" applyAlignment="1">
      <alignment/>
    </xf>
    <xf numFmtId="0" fontId="0" fillId="0" borderId="0" xfId="0" applyBorder="1" applyAlignment="1">
      <alignment vertical="center"/>
    </xf>
    <xf numFmtId="0" fontId="5" fillId="15" borderId="16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15" borderId="23" xfId="0" applyFont="1" applyFill="1" applyBorder="1" applyAlignment="1">
      <alignment horizontal="center" vertical="center" wrapText="1"/>
    </xf>
    <xf numFmtId="0" fontId="5" fillId="15" borderId="21" xfId="0" applyFont="1" applyFill="1" applyBorder="1" applyAlignment="1">
      <alignment horizontal="center" vertical="center" wrapText="1"/>
    </xf>
    <xf numFmtId="205" fontId="5" fillId="0" borderId="19" xfId="1137" applyNumberFormat="1" applyFont="1" applyFill="1" applyBorder="1" applyAlignment="1">
      <alignment horizontal="center" vertical="center"/>
      <protection/>
    </xf>
    <xf numFmtId="205" fontId="5" fillId="0" borderId="16" xfId="0" applyNumberFormat="1" applyFont="1" applyFill="1" applyBorder="1" applyAlignment="1">
      <alignment horizontal="center" vertical="center"/>
    </xf>
    <xf numFmtId="0" fontId="5" fillId="15" borderId="18" xfId="0" applyFont="1" applyFill="1" applyBorder="1" applyAlignment="1">
      <alignment horizontal="center" vertical="center" wrapText="1"/>
    </xf>
    <xf numFmtId="0" fontId="5" fillId="15" borderId="24" xfId="0" applyFont="1" applyFill="1" applyBorder="1" applyAlignment="1">
      <alignment horizontal="center" vertical="center" wrapText="1"/>
    </xf>
    <xf numFmtId="207" fontId="5" fillId="0" borderId="19" xfId="0" applyNumberFormat="1" applyFont="1" applyBorder="1" applyAlignment="1">
      <alignment horizontal="center" vertical="center" wrapText="1"/>
    </xf>
    <xf numFmtId="205" fontId="0" fillId="0" borderId="0" xfId="0" applyNumberFormat="1" applyFill="1" applyAlignment="1">
      <alignment/>
    </xf>
    <xf numFmtId="0" fontId="5" fillId="0" borderId="16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205" fontId="5" fillId="0" borderId="19" xfId="1136" applyNumberFormat="1" applyFont="1" applyFill="1" applyBorder="1" applyAlignment="1">
      <alignment horizontal="center" vertical="center"/>
      <protection/>
    </xf>
    <xf numFmtId="205" fontId="3" fillId="0" borderId="19" xfId="0" applyNumberFormat="1" applyFont="1" applyFill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/>
    </xf>
    <xf numFmtId="207" fontId="5" fillId="15" borderId="22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0" fontId="5" fillId="15" borderId="22" xfId="0" applyFont="1" applyFill="1" applyBorder="1" applyAlignment="1">
      <alignment horizontal="center"/>
    </xf>
    <xf numFmtId="0" fontId="5" fillId="0" borderId="19" xfId="0" applyFont="1" applyBorder="1" applyAlignment="1">
      <alignment horizontal="center" vertical="center" wrapText="1"/>
    </xf>
    <xf numFmtId="205" fontId="5" fillId="0" borderId="19" xfId="1135" applyNumberFormat="1" applyFont="1" applyFill="1" applyBorder="1" applyAlignment="1">
      <alignment horizontal="center" vertical="center"/>
      <protection/>
    </xf>
    <xf numFmtId="205" fontId="5" fillId="0" borderId="19" xfId="1147" applyNumberFormat="1" applyFont="1" applyFill="1" applyBorder="1" applyAlignment="1">
      <alignment horizontal="center" vertical="center"/>
      <protection/>
    </xf>
    <xf numFmtId="0" fontId="0" fillId="0" borderId="19" xfId="0" applyFill="1" applyBorder="1" applyAlignment="1">
      <alignment vertical="center"/>
    </xf>
    <xf numFmtId="205" fontId="0" fillId="0" borderId="19" xfId="0" applyNumberFormat="1" applyFill="1" applyBorder="1" applyAlignment="1">
      <alignment horizontal="center" vertical="center"/>
    </xf>
    <xf numFmtId="205" fontId="0" fillId="0" borderId="19" xfId="0" applyNumberFormat="1" applyFill="1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9" xfId="0" applyFill="1" applyBorder="1" applyAlignment="1">
      <alignment/>
    </xf>
    <xf numFmtId="205" fontId="0" fillId="0" borderId="19" xfId="0" applyNumberFormat="1" applyFill="1" applyBorder="1" applyAlignment="1">
      <alignment/>
    </xf>
    <xf numFmtId="0" fontId="0" fillId="0" borderId="19" xfId="0" applyBorder="1" applyAlignment="1">
      <alignment/>
    </xf>
    <xf numFmtId="0" fontId="5" fillId="0" borderId="0" xfId="0" applyFont="1" applyFill="1" applyBorder="1" applyAlignment="1" applyProtection="1">
      <alignment/>
      <protection locked="0"/>
    </xf>
    <xf numFmtId="0" fontId="0" fillId="0" borderId="0" xfId="0" applyFill="1" applyAlignment="1">
      <alignment vertical="center"/>
    </xf>
    <xf numFmtId="205" fontId="5" fillId="0" borderId="0" xfId="0" applyNumberFormat="1" applyFont="1" applyFill="1" applyAlignment="1">
      <alignment horizontal="center"/>
    </xf>
    <xf numFmtId="205" fontId="5" fillId="0" borderId="22" xfId="0" applyNumberFormat="1" applyFont="1" applyFill="1" applyBorder="1" applyAlignment="1">
      <alignment horizontal="center"/>
    </xf>
    <xf numFmtId="205" fontId="5" fillId="0" borderId="19" xfId="1134" applyNumberFormat="1" applyFont="1" applyFill="1" applyBorder="1" applyAlignment="1">
      <alignment horizontal="center" vertical="center"/>
      <protection/>
    </xf>
    <xf numFmtId="207" fontId="5" fillId="0" borderId="19" xfId="0" applyNumberFormat="1" applyFont="1" applyBorder="1" applyAlignment="1">
      <alignment horizontal="center" vertical="center"/>
    </xf>
    <xf numFmtId="0" fontId="5" fillId="0" borderId="19" xfId="0" applyFont="1" applyFill="1" applyBorder="1" applyAlignment="1" applyProtection="1">
      <alignment horizontal="left" vertical="center" wrapText="1"/>
      <protection locked="0"/>
    </xf>
    <xf numFmtId="205" fontId="5" fillId="0" borderId="19" xfId="0" applyNumberFormat="1" applyFont="1" applyFill="1" applyBorder="1" applyAlignment="1" applyProtection="1">
      <alignment horizontal="center" vertical="center"/>
      <protection/>
    </xf>
    <xf numFmtId="207" fontId="0" fillId="0" borderId="19" xfId="0" applyNumberFormat="1" applyFill="1" applyBorder="1" applyAlignment="1">
      <alignment horizontal="center" vertical="center"/>
    </xf>
    <xf numFmtId="205" fontId="0" fillId="0" borderId="19" xfId="0" applyNumberFormat="1" applyFill="1" applyBorder="1" applyAlignment="1">
      <alignment horizontal="center"/>
    </xf>
    <xf numFmtId="207" fontId="0" fillId="0" borderId="19" xfId="0" applyNumberFormat="1" applyFill="1" applyBorder="1" applyAlignment="1">
      <alignment/>
    </xf>
    <xf numFmtId="207" fontId="0" fillId="0" borderId="19" xfId="0" applyNumberFormat="1" applyBorder="1" applyAlignment="1">
      <alignment vertical="center"/>
    </xf>
    <xf numFmtId="0" fontId="5" fillId="15" borderId="0" xfId="0" applyFont="1" applyFill="1" applyBorder="1" applyAlignment="1">
      <alignment/>
    </xf>
    <xf numFmtId="0" fontId="5" fillId="0" borderId="0" xfId="1093" applyFont="1" applyFill="1" applyAlignment="1">
      <alignment vertical="center"/>
      <protection/>
    </xf>
    <xf numFmtId="0" fontId="0" fillId="8" borderId="0" xfId="1093" applyFill="1">
      <alignment/>
      <protection/>
    </xf>
    <xf numFmtId="0" fontId="0" fillId="0" borderId="0" xfId="1093" applyFont="1" applyFill="1">
      <alignment/>
      <protection/>
    </xf>
    <xf numFmtId="205" fontId="0" fillId="0" borderId="0" xfId="1093" applyNumberFormat="1" applyFill="1" applyAlignment="1">
      <alignment horizontal="center"/>
      <protection/>
    </xf>
    <xf numFmtId="207" fontId="0" fillId="0" borderId="0" xfId="1093" applyNumberFormat="1" applyFill="1" applyAlignment="1">
      <alignment horizontal="center"/>
      <protection/>
    </xf>
    <xf numFmtId="0" fontId="0" fillId="0" borderId="0" xfId="1093" applyFill="1" applyAlignment="1">
      <alignment horizontal="center"/>
      <protection/>
    </xf>
    <xf numFmtId="0" fontId="0" fillId="0" borderId="0" xfId="1093" applyFill="1">
      <alignment/>
      <protection/>
    </xf>
    <xf numFmtId="208" fontId="0" fillId="0" borderId="0" xfId="1093" applyNumberFormat="1" applyFill="1" applyAlignment="1">
      <alignment horizontal="center"/>
      <protection/>
    </xf>
    <xf numFmtId="0" fontId="3" fillId="0" borderId="0" xfId="1093" applyFont="1" applyFill="1" applyAlignment="1">
      <alignment horizontal="left" vertical="center"/>
      <protection/>
    </xf>
    <xf numFmtId="0" fontId="11" fillId="0" borderId="0" xfId="1093" applyFont="1" applyFill="1" applyAlignment="1">
      <alignment horizontal="center"/>
      <protection/>
    </xf>
    <xf numFmtId="0" fontId="3" fillId="0" borderId="0" xfId="1093" applyFont="1" applyFill="1" applyAlignment="1">
      <alignment vertical="top"/>
      <protection/>
    </xf>
    <xf numFmtId="0" fontId="5" fillId="0" borderId="19" xfId="1093" applyFont="1" applyFill="1" applyBorder="1" applyAlignment="1">
      <alignment horizontal="center" vertical="center"/>
      <protection/>
    </xf>
    <xf numFmtId="0" fontId="5" fillId="0" borderId="23" xfId="1093" applyFont="1" applyFill="1" applyBorder="1" applyAlignment="1">
      <alignment horizontal="center" vertical="center"/>
      <protection/>
    </xf>
    <xf numFmtId="0" fontId="5" fillId="0" borderId="18" xfId="1093" applyFont="1" applyFill="1" applyBorder="1" applyAlignment="1">
      <alignment horizontal="center" vertical="center"/>
      <protection/>
    </xf>
    <xf numFmtId="208" fontId="5" fillId="0" borderId="24" xfId="1093" applyNumberFormat="1" applyFont="1" applyFill="1" applyBorder="1" applyAlignment="1">
      <alignment horizontal="center" vertical="center"/>
      <protection/>
    </xf>
    <xf numFmtId="0" fontId="5" fillId="0" borderId="24" xfId="1093" applyFont="1" applyFill="1" applyBorder="1" applyAlignment="1">
      <alignment horizontal="center" vertical="center"/>
      <protection/>
    </xf>
    <xf numFmtId="205" fontId="5" fillId="0" borderId="19" xfId="1093" applyNumberFormat="1" applyFont="1" applyFill="1" applyBorder="1" applyAlignment="1">
      <alignment horizontal="center" vertical="center" wrapText="1"/>
      <protection/>
    </xf>
    <xf numFmtId="207" fontId="5" fillId="0" borderId="19" xfId="1093" applyNumberFormat="1" applyFont="1" applyFill="1" applyBorder="1" applyAlignment="1">
      <alignment horizontal="center" vertical="center" wrapText="1"/>
      <protection/>
    </xf>
    <xf numFmtId="206" fontId="13" fillId="0" borderId="19" xfId="596" applyNumberFormat="1" applyFont="1" applyFill="1" applyBorder="1" applyAlignment="1">
      <alignment vertical="center"/>
      <protection/>
    </xf>
    <xf numFmtId="205" fontId="5" fillId="0" borderId="19" xfId="749" applyNumberFormat="1" applyFont="1" applyFill="1" applyBorder="1" applyAlignment="1">
      <alignment horizontal="center" vertical="center"/>
      <protection/>
    </xf>
    <xf numFmtId="207" fontId="5" fillId="0" borderId="19" xfId="97" applyNumberFormat="1" applyFont="1" applyFill="1" applyBorder="1" applyAlignment="1">
      <alignment horizontal="center" vertical="center"/>
      <protection/>
    </xf>
    <xf numFmtId="205" fontId="5" fillId="0" borderId="19" xfId="596" applyNumberFormat="1" applyFont="1" applyFill="1" applyBorder="1" applyAlignment="1">
      <alignment horizontal="center" vertical="center"/>
      <protection/>
    </xf>
    <xf numFmtId="207" fontId="5" fillId="0" borderId="19" xfId="596" applyNumberFormat="1" applyFont="1" applyFill="1" applyBorder="1" applyAlignment="1">
      <alignment horizontal="center" vertical="center"/>
      <protection/>
    </xf>
    <xf numFmtId="206" fontId="5" fillId="0" borderId="19" xfId="596" applyNumberFormat="1" applyFont="1" applyFill="1" applyBorder="1" applyAlignment="1">
      <alignment horizontal="center" vertical="center"/>
      <protection/>
    </xf>
    <xf numFmtId="206" fontId="5" fillId="0" borderId="19" xfId="596" applyNumberFormat="1" applyFont="1" applyFill="1" applyBorder="1" applyAlignment="1">
      <alignment vertical="center"/>
      <protection/>
    </xf>
    <xf numFmtId="0" fontId="5" fillId="0" borderId="22" xfId="1093" applyFont="1" applyFill="1" applyBorder="1" applyAlignment="1">
      <alignment horizontal="right"/>
      <protection/>
    </xf>
    <xf numFmtId="0" fontId="5" fillId="0" borderId="22" xfId="1093" applyFont="1" applyFill="1" applyBorder="1" applyAlignment="1">
      <alignment horizontal="center"/>
      <protection/>
    </xf>
    <xf numFmtId="0" fontId="5" fillId="0" borderId="19" xfId="1093" applyFont="1" applyFill="1" applyBorder="1" applyAlignment="1">
      <alignment horizontal="center" vertical="center" wrapText="1"/>
      <protection/>
    </xf>
    <xf numFmtId="0" fontId="5" fillId="0" borderId="19" xfId="1094" applyFont="1" applyFill="1" applyBorder="1" applyAlignment="1">
      <alignment vertical="center"/>
      <protection/>
    </xf>
    <xf numFmtId="206" fontId="5" fillId="0" borderId="19" xfId="749" applyNumberFormat="1" applyFont="1" applyFill="1" applyBorder="1" applyAlignment="1">
      <alignment horizontal="center" vertical="center"/>
      <protection/>
    </xf>
    <xf numFmtId="208" fontId="11" fillId="0" borderId="0" xfId="1093" applyNumberFormat="1" applyFont="1" applyFill="1" applyAlignment="1">
      <alignment horizontal="center"/>
      <protection/>
    </xf>
    <xf numFmtId="208" fontId="5" fillId="0" borderId="19" xfId="1093" applyNumberFormat="1" applyFont="1" applyFill="1" applyBorder="1" applyAlignment="1">
      <alignment horizontal="center" vertical="center" wrapText="1"/>
      <protection/>
    </xf>
    <xf numFmtId="206" fontId="5" fillId="0" borderId="19" xfId="97" applyNumberFormat="1" applyFont="1" applyFill="1" applyBorder="1" applyAlignment="1">
      <alignment horizontal="center" vertical="center"/>
      <protection/>
    </xf>
    <xf numFmtId="208" fontId="5" fillId="0" borderId="19" xfId="97" applyNumberFormat="1" applyFont="1" applyFill="1" applyBorder="1" applyAlignment="1">
      <alignment horizontal="center" vertical="center"/>
      <protection/>
    </xf>
    <xf numFmtId="205" fontId="5" fillId="0" borderId="19" xfId="1094" applyNumberFormat="1" applyFont="1" applyFill="1" applyBorder="1" applyAlignment="1">
      <alignment vertical="center"/>
      <protection/>
    </xf>
    <xf numFmtId="206" fontId="5" fillId="8" borderId="19" xfId="596" applyNumberFormat="1" applyFont="1" applyFill="1" applyBorder="1" applyAlignment="1">
      <alignment vertical="center"/>
      <protection/>
    </xf>
    <xf numFmtId="205" fontId="5" fillId="8" borderId="19" xfId="749" applyNumberFormat="1" applyFont="1" applyFill="1" applyBorder="1" applyAlignment="1">
      <alignment horizontal="center" vertical="center"/>
      <protection/>
    </xf>
    <xf numFmtId="205" fontId="5" fillId="8" borderId="19" xfId="1093" applyNumberFormat="1" applyFont="1" applyFill="1" applyBorder="1" applyAlignment="1">
      <alignment horizontal="center" vertical="center" wrapText="1"/>
      <protection/>
    </xf>
    <xf numFmtId="207" fontId="5" fillId="8" borderId="19" xfId="596" applyNumberFormat="1" applyFont="1" applyFill="1" applyBorder="1" applyAlignment="1">
      <alignment horizontal="center" vertical="center"/>
      <protection/>
    </xf>
    <xf numFmtId="206" fontId="5" fillId="8" borderId="19" xfId="596" applyNumberFormat="1" applyFont="1" applyFill="1" applyBorder="1" applyAlignment="1">
      <alignment horizontal="center" vertical="center"/>
      <protection/>
    </xf>
    <xf numFmtId="205" fontId="5" fillId="8" borderId="19" xfId="1094" applyNumberFormat="1" applyFont="1" applyFill="1" applyBorder="1" applyAlignment="1">
      <alignment vertical="center"/>
      <protection/>
    </xf>
    <xf numFmtId="0" fontId="5" fillId="8" borderId="19" xfId="1094" applyFont="1" applyFill="1" applyBorder="1" applyAlignment="1">
      <alignment vertical="center"/>
      <protection/>
    </xf>
    <xf numFmtId="206" fontId="5" fillId="8" borderId="19" xfId="749" applyNumberFormat="1" applyFont="1" applyFill="1" applyBorder="1" applyAlignment="1">
      <alignment horizontal="center" vertical="center"/>
      <protection/>
    </xf>
    <xf numFmtId="206" fontId="5" fillId="8" borderId="19" xfId="97" applyNumberFormat="1" applyFont="1" applyFill="1" applyBorder="1" applyAlignment="1">
      <alignment horizontal="center" vertical="center"/>
      <protection/>
    </xf>
    <xf numFmtId="207" fontId="5" fillId="8" borderId="19" xfId="97" applyNumberFormat="1" applyFont="1" applyFill="1" applyBorder="1" applyAlignment="1">
      <alignment horizontal="center" vertical="center"/>
      <protection/>
    </xf>
    <xf numFmtId="206" fontId="5" fillId="0" borderId="19" xfId="749" applyNumberFormat="1" applyFont="1" applyFill="1" applyBorder="1" applyAlignment="1">
      <alignment vertical="center"/>
      <protection/>
    </xf>
    <xf numFmtId="205" fontId="3" fillId="0" borderId="19" xfId="0" applyNumberFormat="1" applyFont="1" applyFill="1" applyBorder="1" applyAlignment="1" applyProtection="1">
      <alignment horizontal="right" vertical="center"/>
      <protection/>
    </xf>
    <xf numFmtId="205" fontId="5" fillId="0" borderId="19" xfId="596" applyNumberFormat="1" applyFont="1" applyFill="1" applyBorder="1" applyAlignment="1" applyProtection="1">
      <alignment horizontal="center" vertical="center"/>
      <protection locked="0"/>
    </xf>
    <xf numFmtId="205" fontId="5" fillId="0" borderId="19" xfId="596" applyNumberFormat="1" applyFont="1" applyFill="1" applyBorder="1" applyAlignment="1" applyProtection="1">
      <alignment horizontal="center" vertical="center"/>
      <protection/>
    </xf>
    <xf numFmtId="0" fontId="0" fillId="0" borderId="15" xfId="1093" applyFont="1" applyFill="1" applyBorder="1" applyAlignment="1">
      <alignment horizontal="left" vertical="center"/>
      <protection/>
    </xf>
    <xf numFmtId="205" fontId="0" fillId="0" borderId="15" xfId="1093" applyNumberFormat="1" applyFont="1" applyFill="1" applyBorder="1" applyAlignment="1">
      <alignment horizontal="left" vertical="center"/>
      <protection/>
    </xf>
    <xf numFmtId="207" fontId="0" fillId="0" borderId="15" xfId="1093" applyNumberFormat="1" applyFont="1" applyFill="1" applyBorder="1" applyAlignment="1">
      <alignment horizontal="left" vertical="center"/>
      <protection/>
    </xf>
    <xf numFmtId="206" fontId="0" fillId="0" borderId="0" xfId="1093" applyNumberFormat="1" applyFill="1" applyAlignment="1">
      <alignment horizontal="center"/>
      <protection/>
    </xf>
    <xf numFmtId="0" fontId="5" fillId="15" borderId="0" xfId="0" applyFont="1" applyFill="1" applyAlignment="1">
      <alignment vertical="center"/>
    </xf>
    <xf numFmtId="0" fontId="0" fillId="15" borderId="0" xfId="0" applyFill="1" applyAlignment="1">
      <alignment/>
    </xf>
    <xf numFmtId="205" fontId="0" fillId="15" borderId="0" xfId="0" applyNumberFormat="1" applyFill="1" applyAlignment="1">
      <alignment horizontal="center"/>
    </xf>
    <xf numFmtId="207" fontId="0" fillId="15" borderId="0" xfId="0" applyNumberFormat="1" applyFill="1" applyAlignment="1">
      <alignment horizontal="center"/>
    </xf>
    <xf numFmtId="0" fontId="0" fillId="15" borderId="0" xfId="0" applyFill="1" applyAlignment="1">
      <alignment horizontal="center"/>
    </xf>
    <xf numFmtId="0" fontId="0" fillId="14" borderId="0" xfId="0" applyFill="1" applyAlignment="1">
      <alignment horizontal="center"/>
    </xf>
    <xf numFmtId="0" fontId="11" fillId="15" borderId="0" xfId="0" applyFont="1" applyFill="1" applyAlignment="1">
      <alignment horizontal="center"/>
    </xf>
    <xf numFmtId="0" fontId="3" fillId="15" borderId="0" xfId="0" applyFont="1" applyFill="1" applyAlignment="1">
      <alignment vertical="top"/>
    </xf>
    <xf numFmtId="205" fontId="5" fillId="0" borderId="19" xfId="1141" applyNumberFormat="1" applyFont="1" applyBorder="1" applyAlignment="1" applyProtection="1">
      <alignment horizontal="center" vertical="center"/>
      <protection/>
    </xf>
    <xf numFmtId="205" fontId="5" fillId="0" borderId="19" xfId="1148" applyNumberFormat="1" applyFont="1" applyBorder="1" applyAlignment="1" applyProtection="1">
      <alignment horizontal="center" vertical="center"/>
      <protection/>
    </xf>
    <xf numFmtId="205" fontId="5" fillId="0" borderId="19" xfId="1141" applyNumberFormat="1" applyFont="1" applyBorder="1" applyAlignment="1">
      <alignment horizontal="center" vertical="center"/>
      <protection/>
    </xf>
    <xf numFmtId="0" fontId="5" fillId="15" borderId="19" xfId="0" applyFont="1" applyFill="1" applyBorder="1" applyAlignment="1">
      <alignment horizontal="center" vertical="center" wrapText="1"/>
    </xf>
    <xf numFmtId="0" fontId="5" fillId="15" borderId="22" xfId="0" applyFont="1" applyFill="1" applyBorder="1" applyAlignment="1">
      <alignment horizontal="right"/>
    </xf>
    <xf numFmtId="0" fontId="3" fillId="15" borderId="22" xfId="0" applyFont="1" applyFill="1" applyBorder="1" applyAlignment="1">
      <alignment horizontal="center"/>
    </xf>
    <xf numFmtId="0" fontId="5" fillId="14" borderId="19" xfId="0" applyFont="1" applyFill="1" applyBorder="1" applyAlignment="1">
      <alignment horizontal="center" vertical="center" wrapText="1"/>
    </xf>
    <xf numFmtId="206" fontId="5" fillId="0" borderId="19" xfId="1141" applyNumberFormat="1" applyFont="1" applyBorder="1" applyAlignment="1" applyProtection="1">
      <alignment horizontal="center" vertical="center"/>
      <protection/>
    </xf>
    <xf numFmtId="206" fontId="5" fillId="14" borderId="19" xfId="1141" applyNumberFormat="1" applyFont="1" applyFill="1" applyBorder="1" applyAlignment="1" applyProtection="1">
      <alignment horizontal="center" vertical="center"/>
      <protection/>
    </xf>
    <xf numFmtId="210" fontId="5" fillId="15" borderId="19" xfId="0" applyNumberFormat="1" applyFont="1" applyFill="1" applyBorder="1" applyAlignment="1">
      <alignment horizontal="center" vertical="center"/>
    </xf>
    <xf numFmtId="205" fontId="5" fillId="0" borderId="19" xfId="1148" applyNumberFormat="1" applyFont="1" applyBorder="1" applyAlignment="1">
      <alignment horizontal="center" vertical="center"/>
      <protection/>
    </xf>
    <xf numFmtId="206" fontId="5" fillId="14" borderId="19" xfId="596" applyNumberFormat="1" applyFont="1" applyFill="1" applyBorder="1" applyAlignment="1">
      <alignment horizontal="center" vertical="center"/>
      <protection/>
    </xf>
    <xf numFmtId="206" fontId="5" fillId="0" borderId="19" xfId="596" applyNumberFormat="1" applyFont="1" applyBorder="1" applyAlignment="1">
      <alignment horizontal="center" vertical="center"/>
      <protection/>
    </xf>
    <xf numFmtId="206" fontId="5" fillId="0" borderId="19" xfId="596" applyNumberFormat="1" applyFont="1" applyBorder="1" applyAlignment="1">
      <alignment horizontal="center" vertical="center" wrapText="1"/>
      <protection/>
    </xf>
    <xf numFmtId="206" fontId="5" fillId="14" borderId="19" xfId="1141" applyNumberFormat="1" applyFont="1" applyFill="1" applyBorder="1" applyAlignment="1">
      <alignment horizontal="center" vertical="center"/>
      <protection/>
    </xf>
    <xf numFmtId="206" fontId="5" fillId="0" borderId="19" xfId="1141" applyNumberFormat="1" applyFont="1" applyBorder="1" applyAlignment="1">
      <alignment horizontal="center" vertical="center"/>
      <protection/>
    </xf>
    <xf numFmtId="0" fontId="5" fillId="0" borderId="0" xfId="1129" applyFont="1" applyFill="1" applyAlignment="1">
      <alignment vertical="center" wrapText="1"/>
      <protection/>
    </xf>
    <xf numFmtId="0" fontId="5" fillId="0" borderId="0" xfId="1129" applyFont="1" applyAlignment="1">
      <alignment vertical="center" wrapText="1"/>
      <protection/>
    </xf>
    <xf numFmtId="0" fontId="5" fillId="0" borderId="0" xfId="1129" applyFont="1" applyAlignment="1">
      <alignment horizontal="center" vertical="center" wrapText="1"/>
      <protection/>
    </xf>
    <xf numFmtId="0" fontId="19" fillId="0" borderId="0" xfId="1129">
      <alignment/>
      <protection/>
    </xf>
    <xf numFmtId="0" fontId="5" fillId="0" borderId="0" xfId="1129" applyFont="1">
      <alignment/>
      <protection/>
    </xf>
    <xf numFmtId="0" fontId="3" fillId="0" borderId="0" xfId="1129" applyFont="1">
      <alignment/>
      <protection/>
    </xf>
    <xf numFmtId="0" fontId="11" fillId="0" borderId="0" xfId="1129" applyFont="1" applyAlignment="1">
      <alignment horizontal="center" vertical="center"/>
      <protection/>
    </xf>
    <xf numFmtId="0" fontId="3" fillId="0" borderId="0" xfId="1129" applyFont="1" applyAlignment="1">
      <alignment horizontal="right" vertical="center"/>
      <protection/>
    </xf>
    <xf numFmtId="0" fontId="3" fillId="0" borderId="19" xfId="1129" applyFont="1" applyBorder="1" applyAlignment="1">
      <alignment horizontal="center" vertical="center" wrapText="1"/>
      <protection/>
    </xf>
    <xf numFmtId="0" fontId="3" fillId="0" borderId="19" xfId="1129" applyFont="1" applyBorder="1" applyAlignment="1">
      <alignment horizontal="center" vertical="center"/>
      <protection/>
    </xf>
    <xf numFmtId="0" fontId="26" fillId="0" borderId="23" xfId="1129" applyFont="1" applyFill="1" applyBorder="1" applyAlignment="1">
      <alignment horizontal="center" vertical="center" wrapText="1"/>
      <protection/>
    </xf>
    <xf numFmtId="0" fontId="26" fillId="0" borderId="19" xfId="1129" applyFont="1" applyFill="1" applyBorder="1" applyAlignment="1">
      <alignment horizontal="center" vertical="center" wrapText="1"/>
      <protection/>
    </xf>
    <xf numFmtId="206" fontId="26" fillId="0" borderId="24" xfId="1129" applyNumberFormat="1" applyFont="1" applyFill="1" applyBorder="1" applyAlignment="1">
      <alignment horizontal="center" vertical="center" wrapText="1"/>
      <protection/>
    </xf>
    <xf numFmtId="207" fontId="26" fillId="0" borderId="19" xfId="1129" applyNumberFormat="1" applyFont="1" applyFill="1" applyBorder="1" applyAlignment="1">
      <alignment horizontal="center" vertical="center" wrapText="1"/>
      <protection/>
    </xf>
    <xf numFmtId="0" fontId="5" fillId="0" borderId="19" xfId="1129" applyFont="1" applyFill="1" applyBorder="1" applyAlignment="1">
      <alignment vertical="center" wrapText="1"/>
      <protection/>
    </xf>
    <xf numFmtId="0" fontId="26" fillId="15" borderId="19" xfId="1129" applyFont="1" applyFill="1" applyBorder="1" applyAlignment="1">
      <alignment horizontal="center" vertical="center" wrapText="1"/>
      <protection/>
    </xf>
    <xf numFmtId="206" fontId="26" fillId="15" borderId="19" xfId="1129" applyNumberFormat="1" applyFont="1" applyFill="1" applyBorder="1" applyAlignment="1">
      <alignment horizontal="center" vertical="center" wrapText="1"/>
      <protection/>
    </xf>
    <xf numFmtId="207" fontId="26" fillId="15" borderId="19" xfId="1129" applyNumberFormat="1" applyFont="1" applyFill="1" applyBorder="1" applyAlignment="1">
      <alignment horizontal="center" vertical="center" wrapText="1"/>
      <protection/>
    </xf>
    <xf numFmtId="0" fontId="5" fillId="15" borderId="19" xfId="1129" applyFont="1" applyFill="1" applyBorder="1" applyAlignment="1">
      <alignment vertical="center" wrapText="1"/>
      <protection/>
    </xf>
    <xf numFmtId="0" fontId="26" fillId="0" borderId="19" xfId="1129" applyFont="1" applyBorder="1" applyAlignment="1">
      <alignment horizontal="left" vertical="center" wrapText="1"/>
      <protection/>
    </xf>
    <xf numFmtId="0" fontId="26" fillId="0" borderId="19" xfId="1129" applyFont="1" applyBorder="1" applyAlignment="1">
      <alignment vertical="center" wrapText="1"/>
      <protection/>
    </xf>
    <xf numFmtId="206" fontId="26" fillId="0" borderId="19" xfId="1129" applyNumberFormat="1" applyFont="1" applyBorder="1" applyAlignment="1">
      <alignment horizontal="center" vertical="center" wrapText="1"/>
      <protection/>
    </xf>
    <xf numFmtId="207" fontId="26" fillId="0" borderId="19" xfId="1129" applyNumberFormat="1" applyFont="1" applyBorder="1" applyAlignment="1">
      <alignment horizontal="center" vertical="center" wrapText="1"/>
      <protection/>
    </xf>
    <xf numFmtId="0" fontId="3" fillId="0" borderId="19" xfId="1129" applyFont="1" applyBorder="1" applyAlignment="1">
      <alignment horizontal="left" vertical="center" wrapText="1"/>
      <protection/>
    </xf>
    <xf numFmtId="0" fontId="3" fillId="0" borderId="19" xfId="1129" applyFont="1" applyBorder="1" applyAlignment="1">
      <alignment vertical="center" wrapText="1"/>
      <protection/>
    </xf>
    <xf numFmtId="206" fontId="3" fillId="0" borderId="19" xfId="1129" applyNumberFormat="1" applyFont="1" applyBorder="1" applyAlignment="1">
      <alignment horizontal="center" vertical="center" wrapText="1"/>
      <protection/>
    </xf>
    <xf numFmtId="207" fontId="3" fillId="0" borderId="19" xfId="1129" applyNumberFormat="1" applyFont="1" applyBorder="1" applyAlignment="1">
      <alignment horizontal="center" vertical="center" wrapText="1"/>
      <protection/>
    </xf>
    <xf numFmtId="206" fontId="3" fillId="0" borderId="19" xfId="1129" applyNumberFormat="1" applyFont="1" applyFill="1" applyBorder="1" applyAlignment="1">
      <alignment horizontal="center" vertical="center" wrapText="1"/>
      <protection/>
    </xf>
    <xf numFmtId="206" fontId="5" fillId="0" borderId="19" xfId="1129" applyNumberFormat="1" applyFont="1" applyBorder="1" applyAlignment="1">
      <alignment horizontal="center" vertical="center" wrapText="1"/>
      <protection/>
    </xf>
    <xf numFmtId="0" fontId="5" fillId="15" borderId="19" xfId="1129" applyFont="1" applyFill="1" applyBorder="1" applyAlignment="1">
      <alignment horizontal="center" vertical="center" wrapText="1"/>
      <protection/>
    </xf>
    <xf numFmtId="0" fontId="5" fillId="0" borderId="16" xfId="1129" applyFont="1" applyFill="1" applyBorder="1" applyAlignment="1">
      <alignment horizontal="left" vertical="center" wrapText="1"/>
      <protection/>
    </xf>
    <xf numFmtId="0" fontId="5" fillId="0" borderId="21" xfId="1129" applyFont="1" applyFill="1" applyBorder="1" applyAlignment="1">
      <alignment horizontal="left" vertical="center" wrapText="1"/>
      <protection/>
    </xf>
    <xf numFmtId="0" fontId="3" fillId="0" borderId="19" xfId="1129" applyFont="1" applyFill="1" applyBorder="1" applyAlignment="1">
      <alignment vertical="center" wrapText="1"/>
      <protection/>
    </xf>
    <xf numFmtId="0" fontId="26" fillId="0" borderId="19" xfId="1129" applyFont="1" applyFill="1" applyBorder="1" applyAlignment="1">
      <alignment horizontal="left" vertical="center" wrapText="1"/>
      <protection/>
    </xf>
    <xf numFmtId="0" fontId="26" fillId="0" borderId="19" xfId="1129" applyFont="1" applyFill="1" applyBorder="1" applyAlignment="1">
      <alignment vertical="center" wrapText="1"/>
      <protection/>
    </xf>
    <xf numFmtId="206" fontId="26" fillId="0" borderId="19" xfId="1129" applyNumberFormat="1" applyFont="1" applyFill="1" applyBorder="1" applyAlignment="1">
      <alignment horizontal="center" vertical="center" wrapText="1"/>
      <protection/>
    </xf>
    <xf numFmtId="0" fontId="3" fillId="0" borderId="19" xfId="1129" applyFont="1" applyFill="1" applyBorder="1" applyAlignment="1">
      <alignment horizontal="left" vertical="center" wrapText="1"/>
      <protection/>
    </xf>
    <xf numFmtId="0" fontId="5" fillId="0" borderId="0" xfId="1129" applyFont="1" applyFill="1">
      <alignment/>
      <protection/>
    </xf>
    <xf numFmtId="0" fontId="5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206" fontId="0" fillId="0" borderId="0" xfId="0" applyNumberFormat="1" applyAlignment="1">
      <alignment horizontal="center"/>
    </xf>
    <xf numFmtId="206" fontId="0" fillId="0" borderId="0" xfId="0" applyNumberForma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11" fillId="0" borderId="0" xfId="0" applyFont="1" applyAlignment="1" applyProtection="1">
      <alignment horizontal="center"/>
      <protection/>
    </xf>
    <xf numFmtId="0" fontId="20" fillId="0" borderId="0" xfId="0" applyFont="1" applyAlignment="1" applyProtection="1">
      <alignment/>
      <protection locked="0"/>
    </xf>
    <xf numFmtId="206" fontId="5" fillId="0" borderId="0" xfId="1141" applyNumberFormat="1" applyFont="1" applyFill="1" applyBorder="1" applyAlignment="1">
      <alignment horizontal="center" vertical="center"/>
      <protection/>
    </xf>
    <xf numFmtId="207" fontId="5" fillId="0" borderId="0" xfId="0" applyNumberFormat="1" applyFont="1" applyFill="1" applyBorder="1" applyAlignment="1" applyProtection="1">
      <alignment horizontal="right" vertical="center"/>
      <protection locked="0"/>
    </xf>
    <xf numFmtId="208" fontId="5" fillId="0" borderId="0" xfId="0" applyNumberFormat="1" applyFont="1" applyAlignment="1">
      <alignment vertical="center"/>
    </xf>
    <xf numFmtId="206" fontId="5" fillId="0" borderId="19" xfId="1141" applyNumberFormat="1" applyFont="1" applyFill="1" applyBorder="1" applyAlignment="1">
      <alignment horizontal="center" vertical="center"/>
      <protection/>
    </xf>
    <xf numFmtId="207" fontId="5" fillId="0" borderId="19" xfId="0" applyNumberFormat="1" applyFont="1" applyFill="1" applyBorder="1" applyAlignment="1" applyProtection="1">
      <alignment horizontal="center" vertical="center"/>
      <protection locked="0"/>
    </xf>
    <xf numFmtId="211" fontId="5" fillId="0" borderId="0" xfId="0" applyNumberFormat="1" applyFont="1" applyFill="1" applyAlignment="1">
      <alignment horizontal="center" vertical="center" wrapText="1"/>
    </xf>
    <xf numFmtId="208" fontId="5" fillId="0" borderId="0" xfId="0" applyNumberFormat="1" applyFont="1" applyFill="1" applyAlignment="1">
      <alignment horizontal="center" vertical="center" wrapText="1"/>
    </xf>
    <xf numFmtId="0" fontId="8" fillId="0" borderId="19" xfId="0" applyFont="1" applyFill="1" applyBorder="1" applyAlignment="1" applyProtection="1">
      <alignment vertical="center"/>
      <protection locked="0"/>
    </xf>
    <xf numFmtId="0" fontId="8" fillId="0" borderId="19" xfId="0" applyFont="1" applyBorder="1" applyAlignment="1">
      <alignment vertical="center"/>
    </xf>
    <xf numFmtId="0" fontId="5" fillId="0" borderId="19" xfId="0" applyFont="1" applyBorder="1" applyAlignment="1" applyProtection="1">
      <alignment horizontal="center" vertical="center"/>
      <protection locked="0"/>
    </xf>
    <xf numFmtId="0" fontId="5" fillId="0" borderId="15" xfId="0" applyFont="1" applyFill="1" applyBorder="1" applyAlignment="1">
      <alignment horizontal="center" vertical="center"/>
    </xf>
    <xf numFmtId="206" fontId="5" fillId="0" borderId="15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top"/>
    </xf>
    <xf numFmtId="0" fontId="5" fillId="0" borderId="0" xfId="0" applyFont="1" applyFill="1" applyAlignment="1">
      <alignment horizontal="right"/>
    </xf>
    <xf numFmtId="0" fontId="8" fillId="0" borderId="19" xfId="0" applyFont="1" applyFill="1" applyBorder="1" applyAlignment="1">
      <alignment horizontal="center" vertical="center" wrapText="1"/>
    </xf>
    <xf numFmtId="206" fontId="5" fillId="0" borderId="19" xfId="1146" applyNumberFormat="1" applyFont="1" applyFill="1" applyBorder="1" applyAlignment="1">
      <alignment horizontal="center" vertical="center"/>
      <protection/>
    </xf>
    <xf numFmtId="205" fontId="5" fillId="0" borderId="19" xfId="1146" applyNumberFormat="1" applyFont="1" applyFill="1" applyBorder="1" applyAlignment="1">
      <alignment horizontal="center" vertical="center"/>
      <protection/>
    </xf>
    <xf numFmtId="205" fontId="5" fillId="0" borderId="19" xfId="1133" applyNumberFormat="1" applyFont="1" applyFill="1" applyBorder="1" applyAlignment="1">
      <alignment horizontal="center" vertical="center"/>
      <protection/>
    </xf>
    <xf numFmtId="0" fontId="3" fillId="0" borderId="0" xfId="0" applyNumberFormat="1" applyFont="1" applyFill="1" applyAlignment="1">
      <alignment horizontal="left" vertical="center"/>
    </xf>
    <xf numFmtId="0" fontId="11" fillId="0" borderId="0" xfId="0" applyFont="1" applyFill="1" applyAlignment="1">
      <alignment horizontal="center"/>
    </xf>
    <xf numFmtId="0" fontId="5" fillId="0" borderId="22" xfId="0" applyFont="1" applyFill="1" applyBorder="1" applyAlignment="1">
      <alignment horizontal="right"/>
    </xf>
    <xf numFmtId="205" fontId="5" fillId="0" borderId="24" xfId="1146" applyNumberFormat="1" applyFont="1" applyFill="1" applyBorder="1" applyAlignment="1">
      <alignment horizontal="center" vertical="center"/>
      <protection/>
    </xf>
    <xf numFmtId="205" fontId="5" fillId="0" borderId="19" xfId="1132" applyNumberFormat="1" applyFont="1" applyFill="1" applyBorder="1" applyAlignment="1">
      <alignment horizontal="center" vertical="center"/>
      <protection/>
    </xf>
    <xf numFmtId="205" fontId="5" fillId="0" borderId="0" xfId="0" applyNumberFormat="1" applyFont="1" applyFill="1" applyAlignment="1">
      <alignment horizontal="center" vertical="center"/>
    </xf>
    <xf numFmtId="0" fontId="8" fillId="0" borderId="19" xfId="0" applyFont="1" applyFill="1" applyBorder="1" applyAlignment="1">
      <alignment vertical="center"/>
    </xf>
    <xf numFmtId="0" fontId="5" fillId="0" borderId="13" xfId="0" applyFont="1" applyFill="1" applyBorder="1" applyAlignment="1" applyProtection="1">
      <alignment vertical="center"/>
      <protection locked="0"/>
    </xf>
    <xf numFmtId="205" fontId="5" fillId="0" borderId="24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205" fontId="5" fillId="0" borderId="19" xfId="708" applyNumberFormat="1" applyFont="1" applyFill="1" applyBorder="1" applyAlignment="1">
      <alignment horizontal="center" vertical="center"/>
      <protection/>
    </xf>
    <xf numFmtId="205" fontId="5" fillId="0" borderId="19" xfId="1146" applyNumberFormat="1" applyFont="1" applyFill="1" applyBorder="1" applyAlignment="1" applyProtection="1">
      <alignment horizontal="center" vertical="center"/>
      <protection locked="0"/>
    </xf>
    <xf numFmtId="205" fontId="5" fillId="0" borderId="19" xfId="1146" applyNumberFormat="1" applyFont="1" applyFill="1" applyBorder="1" applyAlignment="1" applyProtection="1">
      <alignment horizontal="center" vertical="center"/>
      <protection/>
    </xf>
    <xf numFmtId="0" fontId="5" fillId="0" borderId="19" xfId="0" applyFont="1" applyFill="1" applyBorder="1" applyAlignment="1" applyProtection="1">
      <alignment horizontal="center" vertical="center"/>
      <protection locked="0"/>
    </xf>
    <xf numFmtId="0" fontId="3" fillId="0" borderId="0" xfId="0" applyNumberFormat="1" applyFont="1" applyFill="1" applyAlignment="1">
      <alignment vertical="center"/>
    </xf>
    <xf numFmtId="205" fontId="3" fillId="0" borderId="21" xfId="0" applyNumberFormat="1" applyFont="1" applyFill="1" applyBorder="1" applyAlignment="1" applyProtection="1">
      <alignment horizontal="center" vertical="center"/>
      <protection/>
    </xf>
    <xf numFmtId="205" fontId="0" fillId="15" borderId="0" xfId="0" applyNumberFormat="1" applyFill="1" applyAlignment="1">
      <alignment/>
    </xf>
    <xf numFmtId="0" fontId="3" fillId="0" borderId="0" xfId="0" applyNumberFormat="1" applyFont="1" applyAlignment="1">
      <alignment horizontal="left" vertical="center"/>
    </xf>
    <xf numFmtId="205" fontId="3" fillId="15" borderId="0" xfId="0" applyNumberFormat="1" applyFont="1" applyFill="1" applyAlignment="1">
      <alignment/>
    </xf>
    <xf numFmtId="0" fontId="5" fillId="15" borderId="0" xfId="0" applyFont="1" applyFill="1" applyAlignment="1">
      <alignment horizontal="center"/>
    </xf>
    <xf numFmtId="205" fontId="5" fillId="0" borderId="16" xfId="0" applyNumberFormat="1" applyFont="1" applyFill="1" applyBorder="1" applyAlignment="1" applyProtection="1">
      <alignment horizontal="center" vertical="center"/>
      <protection/>
    </xf>
    <xf numFmtId="205" fontId="5" fillId="0" borderId="19" xfId="0" applyNumberFormat="1" applyFont="1" applyFill="1" applyBorder="1" applyAlignment="1">
      <alignment vertical="center"/>
    </xf>
    <xf numFmtId="208" fontId="0" fillId="0" borderId="0" xfId="0" applyNumberFormat="1" applyFill="1" applyAlignment="1">
      <alignment vertical="center"/>
    </xf>
    <xf numFmtId="206" fontId="0" fillId="0" borderId="0" xfId="0" applyNumberFormat="1" applyFill="1" applyAlignment="1">
      <alignment vertical="center"/>
    </xf>
    <xf numFmtId="0" fontId="3" fillId="15" borderId="0" xfId="0" applyFont="1" applyFill="1" applyAlignment="1">
      <alignment horizontal="center"/>
    </xf>
    <xf numFmtId="205" fontId="5" fillId="0" borderId="19" xfId="1130" applyNumberFormat="1" applyFont="1" applyFill="1" applyBorder="1" applyAlignment="1">
      <alignment horizontal="center" vertical="center"/>
      <protection/>
    </xf>
    <xf numFmtId="206" fontId="0" fillId="15" borderId="0" xfId="0" applyNumberFormat="1" applyFill="1" applyAlignment="1">
      <alignment horizontal="center"/>
    </xf>
    <xf numFmtId="0" fontId="27" fillId="0" borderId="0" xfId="0" applyFont="1" applyAlignment="1">
      <alignment horizontal="left"/>
    </xf>
    <xf numFmtId="0" fontId="28" fillId="0" borderId="0" xfId="0" applyFont="1" applyAlignment="1">
      <alignment/>
    </xf>
    <xf numFmtId="0" fontId="27" fillId="0" borderId="0" xfId="0" applyFont="1" applyAlignment="1">
      <alignment/>
    </xf>
    <xf numFmtId="0" fontId="29" fillId="0" borderId="0" xfId="0" applyFont="1" applyAlignment="1">
      <alignment horizontal="center"/>
    </xf>
    <xf numFmtId="0" fontId="30" fillId="0" borderId="0" xfId="0" applyFont="1" applyAlignment="1">
      <alignment/>
    </xf>
  </cellXfs>
  <cellStyles count="1631">
    <cellStyle name="Normal" xfId="0"/>
    <cellStyle name="好_2006年全省财力计算表（中央、决算）_2016年1月13日人大报告表格定版 王丽君" xfId="15"/>
    <cellStyle name="Currency [0]" xfId="16"/>
    <cellStyle name="差_2006年全省财力计算表（中央、决算）_表8-2" xfId="17"/>
    <cellStyle name="20% - 强调文字颜色 3" xfId="18"/>
    <cellStyle name="_Book1_2016年1月13日人大报告表格定版 王丽君_定-(4012)2017年三开发区、新区一般公共预算、政府性基金收支表" xfId="19"/>
    <cellStyle name="输入" xfId="20"/>
    <cellStyle name="差_2006年在职人员情况_表4-3" xfId="21"/>
    <cellStyle name="差_2009年一般性转移支付标准工资_奖励补助测算5.23新_2016年1月13日人大报告表格定版 王丽君" xfId="22"/>
    <cellStyle name="_ET_STYLE_NoName_00__集团-五公司-200802_5" xfId="23"/>
    <cellStyle name="常规 44" xfId="24"/>
    <cellStyle name="常规 39" xfId="25"/>
    <cellStyle name="Currency" xfId="26"/>
    <cellStyle name="_Book1_2016年1月13日人大报告表格定版 王丽君_表8-2" xfId="27"/>
    <cellStyle name="差_2006年水利统计指标统计表_表4-4 " xfId="28"/>
    <cellStyle name="args.style" xfId="29"/>
    <cellStyle name="差_地方配套按人均增幅控制8.30一般预算平均增幅、人均可用财力平均增幅两次控制、社会治安系数调整、案件数调整xl_表4-3" xfId="30"/>
    <cellStyle name="Comma [0]" xfId="31"/>
    <cellStyle name="Accent2 - 40%" xfId="32"/>
    <cellStyle name="RowLevel_7" xfId="33"/>
    <cellStyle name="40% - 强调文字颜色 3" xfId="34"/>
    <cellStyle name="差_县级基础数据_表8-3" xfId="35"/>
    <cellStyle name="差_建行_2016年1月13日人大报告表格定版 王丽君" xfId="36"/>
    <cellStyle name="差_表8-3_2015年1月17日人大报告表格定版（县区填报）" xfId="37"/>
    <cellStyle name="差" xfId="38"/>
    <cellStyle name="好_汇总" xfId="39"/>
    <cellStyle name="差_2006年水利统计指标统计表_表8-2" xfId="40"/>
    <cellStyle name="Comma" xfId="41"/>
    <cellStyle name="好_建行_表8-2" xfId="42"/>
    <cellStyle name="60% - 强调文字颜色 3" xfId="43"/>
    <cellStyle name="Accent2 - 60%" xfId="44"/>
    <cellStyle name="Hyperlink" xfId="45"/>
    <cellStyle name="差_0502通海县_表4-4 " xfId="46"/>
    <cellStyle name="差_2009年一般性转移支付标准工资_奖励补助测算5.22测试" xfId="47"/>
    <cellStyle name="Percent" xfId="48"/>
    <cellStyle name="差_1110洱源县_表4-3" xfId="49"/>
    <cellStyle name="好_地方配套按人均增幅控制8.30xl_表8-3" xfId="50"/>
    <cellStyle name="Followed Hyperlink" xfId="51"/>
    <cellStyle name="ColLevel_5" xfId="52"/>
    <cellStyle name="_ET_STYLE_NoName_00__Sheet3" xfId="53"/>
    <cellStyle name="Accent1_2016年1月13日人大报告表格定版 王丽君" xfId="54"/>
    <cellStyle name="注释" xfId="55"/>
    <cellStyle name="60% - 强调文字颜色 2" xfId="56"/>
    <cellStyle name="差_教师绩效工资测算表（离退休按各地上报数测算）2009年1月1日" xfId="57"/>
    <cellStyle name="差_2007年政法部门业务指标" xfId="58"/>
    <cellStyle name="差_2007年检察院案件数_表8-2" xfId="59"/>
    <cellStyle name="差_2006年分析表" xfId="60"/>
    <cellStyle name="好_M03_表4-3" xfId="61"/>
    <cellStyle name="Comma 2" xfId="62"/>
    <cellStyle name="标题 4" xfId="63"/>
    <cellStyle name="警告文本" xfId="64"/>
    <cellStyle name="标题" xfId="65"/>
    <cellStyle name="_Book1_1" xfId="66"/>
    <cellStyle name="解释性文本" xfId="67"/>
    <cellStyle name="百分比 4" xfId="68"/>
    <cellStyle name="标题 1" xfId="69"/>
    <cellStyle name="差_2007年人员分部门统计表_2016年1月13日人大报告表格定版 王丽君" xfId="70"/>
    <cellStyle name="标题 2" xfId="71"/>
    <cellStyle name="_20100326高清市院遂宁检察院1080P配置清单26日改" xfId="72"/>
    <cellStyle name="好_检验表（调整后）_表4-4 " xfId="73"/>
    <cellStyle name="差_2008年县级公安保障标准落实奖励经费分配测算_表8-3" xfId="74"/>
    <cellStyle name="60% - 强调文字颜色 1" xfId="75"/>
    <cellStyle name="差_2、土地面积、人口、粮食产量基本情况_表4-4 " xfId="76"/>
    <cellStyle name="标题 3" xfId="77"/>
    <cellStyle name="好_建行_表8-3" xfId="78"/>
    <cellStyle name="60% - 强调文字颜色 4" xfId="79"/>
    <cellStyle name="好_M01-2(州市补助收入)_表8-2" xfId="80"/>
    <cellStyle name="输出" xfId="81"/>
    <cellStyle name="Input" xfId="82"/>
    <cellStyle name="计算" xfId="83"/>
    <cellStyle name="40% - 强调文字颜色 4 2" xfId="84"/>
    <cellStyle name="好_2009年一般性转移支付标准工资_地方配套按人均增幅控制8.31（调整结案率后）xl_表4-3" xfId="85"/>
    <cellStyle name="差_财政供养人员_2016年1月13日人大报告表格定版 王丽君" xfId="86"/>
    <cellStyle name="_ET_STYLE_NoName_00__县公司" xfId="87"/>
    <cellStyle name="检查单元格" xfId="88"/>
    <cellStyle name="20% - 强调文字颜色 6" xfId="89"/>
    <cellStyle name="Currency [0]" xfId="90"/>
    <cellStyle name="强调文字颜色 2" xfId="91"/>
    <cellStyle name="链接单元格" xfId="92"/>
    <cellStyle name="好_云南省2008年转移支付测算——州市本级考核部分及政策性测算_表4-3" xfId="93"/>
    <cellStyle name="_Book1_(4011高新区)新表  2017年高新区一般公共预算、政府性基金收支表" xfId="94"/>
    <cellStyle name="差_Book2" xfId="95"/>
    <cellStyle name="汇总" xfId="96"/>
    <cellStyle name="常规_转换4001 2_定稿-2016年1月14日下午印刷厂人大报告表格" xfId="97"/>
    <cellStyle name="差_2009年一般性转移支付标准工资_地方配套按人均增幅控制8.31（调整结案率后）xl_表8-2" xfId="98"/>
    <cellStyle name="好" xfId="99"/>
    <cellStyle name="Heading 3" xfId="100"/>
    <cellStyle name="_Book1_5" xfId="101"/>
    <cellStyle name="适中" xfId="102"/>
    <cellStyle name="差_教师绩效工资测算表（离退休按各地上报数测算）2009年1月1日_表8-3" xfId="103"/>
    <cellStyle name="差_2007年政法部门业务指标_表8-3" xfId="104"/>
    <cellStyle name="20% - 强调文字颜色 5" xfId="105"/>
    <cellStyle name="差_2006年分析表_表8-3" xfId="106"/>
    <cellStyle name="差_银行账户情况表_2010年12月_表8-3" xfId="107"/>
    <cellStyle name="强调文字颜色 1" xfId="108"/>
    <cellStyle name="20% - 强调文字颜色 1" xfId="109"/>
    <cellStyle name="_Book1_2016年1月13日人大报告表格定版 王丽君_表4-4 " xfId="110"/>
    <cellStyle name="RowLevel_5" xfId="111"/>
    <cellStyle name="差_2007年可用财力_表8-2" xfId="112"/>
    <cellStyle name="好_县级基础数据_表8-2" xfId="113"/>
    <cellStyle name="Accent3_2016年1月13日人大报告表格定版 王丽君" xfId="114"/>
    <cellStyle name="差_2007年检察院案件数_2016年1月13日人大报告表格定版 王丽君" xfId="115"/>
    <cellStyle name="40% - 强调文字颜色 1" xfId="116"/>
    <cellStyle name="好_检验表_2016年1月13日人大报告表格定版 王丽君" xfId="117"/>
    <cellStyle name="20% - 强调文字颜色 2" xfId="118"/>
    <cellStyle name="RowLevel_6" xfId="119"/>
    <cellStyle name="差_2007年可用财力_表8-3" xfId="120"/>
    <cellStyle name="20% - 强调文字颜色 3_1.13 2017年基金预算表-余超" xfId="121"/>
    <cellStyle name="40% - 强调文字颜色 2" xfId="122"/>
    <cellStyle name="_Book1_2016年1月13日人大报告表格定版 王丽君_(4011高新区)新表  2017年高新区一般公共预算、政府性基金收支表" xfId="123"/>
    <cellStyle name="?鹎%U龡&amp;H?_x0008__x001C__x001C_?_x0007__x0001__x0001_" xfId="124"/>
    <cellStyle name="差_第一部分：综合全_2016年1月13日人大报告表格定版 王丽君" xfId="125"/>
    <cellStyle name="强调文字颜色 3" xfId="126"/>
    <cellStyle name="差_地方配套按人均增幅控制8.30一般预算平均增幅、人均可用财力平均增幅两次控制、社会治安系数调整、案件数调整xl_表8-2" xfId="127"/>
    <cellStyle name="PSChar" xfId="128"/>
    <cellStyle name="强调文字颜色 4" xfId="129"/>
    <cellStyle name="差_教师绩效工资测算表（离退休按各地上报数测算）2009年1月1日_表8-2" xfId="130"/>
    <cellStyle name="差_2007年政法部门业务指标_表8-2" xfId="131"/>
    <cellStyle name="20% - 强调文字颜色 4" xfId="132"/>
    <cellStyle name="差_2006年分析表_表8-2" xfId="133"/>
    <cellStyle name="40% - 强调文字颜色 4" xfId="134"/>
    <cellStyle name="差_~5676413_2016年1月13日人大报告表格定版 王丽君" xfId="135"/>
    <cellStyle name="强调文字颜色 5" xfId="136"/>
    <cellStyle name="40% - 强调文字颜色 5" xfId="137"/>
    <cellStyle name="差_2006年全省财力计算表（中央、决算）" xfId="138"/>
    <cellStyle name="60% - 强调文字颜色 5" xfId="139"/>
    <cellStyle name="强调文字颜色 6" xfId="140"/>
    <cellStyle name="好_业务工作量指标" xfId="141"/>
    <cellStyle name="60% - 强调文字颜色 3_1.13 2017年基金预算表-余超" xfId="142"/>
    <cellStyle name="好_指标五_表8-3" xfId="143"/>
    <cellStyle name="_弱电系统设备配置报价清单" xfId="144"/>
    <cellStyle name="0,0&#13;&#10;NA&#13;&#10;" xfId="145"/>
    <cellStyle name="40% - 强调文字颜色 6" xfId="146"/>
    <cellStyle name="好_上报格式（2016年市本级收支余）_表4-4 " xfId="147"/>
    <cellStyle name="差_03昭通" xfId="148"/>
    <cellStyle name="好_下半年禁毒办案经费分配2544.3万元" xfId="149"/>
    <cellStyle name="40% - 强调文字颜色 6 2" xfId="150"/>
    <cellStyle name="_2010年各单位清算索赔计划-年底" xfId="151"/>
    <cellStyle name="60% - 强调文字颜色 6" xfId="152"/>
    <cellStyle name="分级显示列_1_Book1" xfId="153"/>
    <cellStyle name="差_地方配套按人均增幅控制8.30一般预算平均增幅、人均可用财力平均增幅两次控制、社会治安系数调整、案件数调整xl_表4-4 " xfId="154"/>
    <cellStyle name="差_11大理_表4-3" xfId="155"/>
    <cellStyle name="好_~4190974_表8-3" xfId="156"/>
    <cellStyle name="Percent 2" xfId="157"/>
    <cellStyle name="Currency_!!!GO" xfId="158"/>
    <cellStyle name="样式 1" xfId="159"/>
    <cellStyle name="Accent2_2016年1月13日人大报告表格定版 王丽君" xfId="160"/>
    <cellStyle name="_Book1" xfId="161"/>
    <cellStyle name="Accent2 - 20%" xfId="162"/>
    <cellStyle name="_Book1_2" xfId="163"/>
    <cellStyle name="_Book1_2016年1月13日人大报告表格定版 王丽君" xfId="164"/>
    <cellStyle name="差_2008年县级公安保障标准落实奖励经费分配测算_表4-3" xfId="165"/>
    <cellStyle name="_ET_STYLE_NoName_00__集团-五公司-200802_12" xfId="166"/>
    <cellStyle name="_Book1_2016年1月13日人大报告表格定版 王丽君_表4-3" xfId="167"/>
    <cellStyle name="差_云南省2008年中小学教职工情况（教育厅提供20090101加工整理）_2016年1月13日人大报告表格定版 王丽君" xfId="168"/>
    <cellStyle name="Accent1 - 40%" xfId="169"/>
    <cellStyle name="差_2006年基础数据" xfId="170"/>
    <cellStyle name="_Book1_2016年1月13日人大报告表格定版 王丽君_表8-3" xfId="171"/>
    <cellStyle name="Heading 1" xfId="172"/>
    <cellStyle name="_Book1_3" xfId="173"/>
    <cellStyle name="Heading 2" xfId="174"/>
    <cellStyle name="差_2009年一般性转移支付标准工资_不用软件计算9.1不考虑经费管理评价xl_表4-3" xfId="175"/>
    <cellStyle name="20% - 强调文字颜色 3 2" xfId="176"/>
    <cellStyle name="_Book1_4" xfId="177"/>
    <cellStyle name="_Book1_表4-3" xfId="178"/>
    <cellStyle name="差_~5676413_表8-3" xfId="179"/>
    <cellStyle name="好_2009年一般性转移支付标准工资_奖励补助测算5.23新_表8-2" xfId="180"/>
    <cellStyle name="_Book1_表4-3_1" xfId="181"/>
    <cellStyle name="PSDec" xfId="182"/>
    <cellStyle name="60% - 强调文字颜色 1_1.13 2017年基金预算表-余超" xfId="183"/>
    <cellStyle name="_Book1_表4-4 " xfId="184"/>
    <cellStyle name="_Book1_表4-4 _1" xfId="185"/>
    <cellStyle name="差_2006年水利统计指标统计表_表8-3" xfId="186"/>
    <cellStyle name="_Book1_表4-4 _表4-4 " xfId="187"/>
    <cellStyle name="ColLevel_0" xfId="188"/>
    <cellStyle name="_Book1_表8-2" xfId="189"/>
    <cellStyle name="_Book1_表8-2_1" xfId="190"/>
    <cellStyle name="_Book1_表8-3" xfId="191"/>
    <cellStyle name="Title" xfId="192"/>
    <cellStyle name="ColLevel_1" xfId="193"/>
    <cellStyle name="_Book1_表8-3_1" xfId="194"/>
    <cellStyle name="好_2009年一般性转移支付标准工资_2016年1月13日人大报告表格定版 王丽君" xfId="195"/>
    <cellStyle name="_Book1_定-(4012)2017年三开发区、新区一般公共预算、政府性基金收支表" xfId="196"/>
    <cellStyle name="Accent5 - 40%" xfId="197"/>
    <cellStyle name="差_2009年一般性转移支付标准工资_~5676413_2016年1月13日人大报告表格定版 王丽君" xfId="198"/>
    <cellStyle name="差_上报格式（2016年市本级收支余）_2016年1月13日人大报告表格定版 王丽君" xfId="199"/>
    <cellStyle name="_ET_STYLE_NoName_00_" xfId="200"/>
    <cellStyle name="差_0605石屏县" xfId="201"/>
    <cellStyle name="_南方电网" xfId="202"/>
    <cellStyle name="好_2009年一般性转移支付标准工资_奖励补助测算5.22测试_表8-2" xfId="203"/>
    <cellStyle name="_ET_STYLE_NoName_00__2016年1月12日中午余超发来12.23（汇总）2016年基金预算表" xfId="204"/>
    <cellStyle name="好_11大理_表8-2" xfId="205"/>
    <cellStyle name="_ET_STYLE_NoName_00__2016年基金预算表格" xfId="206"/>
    <cellStyle name="_ET_STYLE_NoName_00__Book1" xfId="207"/>
    <cellStyle name="_ET_STYLE_NoName_00__Book1_1" xfId="208"/>
    <cellStyle name="_ET_STYLE_NoName_00__Book1_1_县公司" xfId="209"/>
    <cellStyle name="_ET_STYLE_NoName_00__Book1_1_银行账户情况表_2010年12月" xfId="210"/>
    <cellStyle name="差_教师绩效工资测算表（离退休按各地上报数测算）2009年1月1日_表4-4 " xfId="211"/>
    <cellStyle name="差_2007年政法部门业务指标_表4-4 " xfId="212"/>
    <cellStyle name="差_2006年分析表_表4-4 " xfId="213"/>
    <cellStyle name="Accent5 - 20%" xfId="214"/>
    <cellStyle name="_ET_STYLE_NoName_00__Book1_2" xfId="215"/>
    <cellStyle name="Dezimal [0]_laroux" xfId="216"/>
    <cellStyle name="_ET_STYLE_NoName_00__Book1_县公司" xfId="217"/>
    <cellStyle name="差_2009年一般性转移支付标准工资_地方配套按人均增幅控制8.30一般预算平均增幅、人均可用财力平均增幅两次控制、社会治安系数调整、案件数调整xl_2016年1月13日人大报告表格定版 王丽君" xfId="218"/>
    <cellStyle name="_ET_STYLE_NoName_00__Book1_银行账户情况表_2010年12月" xfId="219"/>
    <cellStyle name="_ET_STYLE_NoName_00__集团-五公司-200802" xfId="220"/>
    <cellStyle name="差_0502通海县" xfId="221"/>
    <cellStyle name="_ET_STYLE_NoName_00__集团-五公司-200802_1" xfId="222"/>
    <cellStyle name="20% - 强调文字颜色 2_1.13 2017年基金预算表-余超" xfId="223"/>
    <cellStyle name="_ET_STYLE_NoName_00__集团-五公司-200802_10" xfId="224"/>
    <cellStyle name="好_2008云南省分县市中小学教职工统计表（教育厅提供）_表4-3" xfId="225"/>
    <cellStyle name="Output" xfId="226"/>
    <cellStyle name="_ET_STYLE_NoName_00__集团-五公司-200802_11" xfId="227"/>
    <cellStyle name="_ET_STYLE_NoName_00__集团-五公司-200802_2" xfId="228"/>
    <cellStyle name="_ET_STYLE_NoName_00__集团-五公司-200802_3" xfId="229"/>
    <cellStyle name="注释_1.13 2017年基金预算表-余超" xfId="230"/>
    <cellStyle name="_ET_STYLE_NoName_00__集团-五公司-200802_4" xfId="231"/>
    <cellStyle name="常规 50" xfId="232"/>
    <cellStyle name="常规 45" xfId="233"/>
    <cellStyle name="差_2006年基础数据_表4-4 " xfId="234"/>
    <cellStyle name="_ET_STYLE_NoName_00__集团-五公司-200802_6" xfId="235"/>
    <cellStyle name="标题 1 2" xfId="236"/>
    <cellStyle name="_ET_STYLE_NoName_00__集团-五公司-200802_7" xfId="237"/>
    <cellStyle name="_ET_STYLE_NoName_00__中铁五局2011年一标" xfId="238"/>
    <cellStyle name="_ET_STYLE_NoName_00__集团-五公司-200802_8" xfId="239"/>
    <cellStyle name="_ET_STYLE_NoName_00__集团-五公司-200802_9" xfId="240"/>
    <cellStyle name="差_奖励补助测算7.25 (version 1) (version 1)" xfId="241"/>
    <cellStyle name="_ET_STYLE_NoName_00__建行" xfId="242"/>
    <cellStyle name="好_丽江汇总_表8-2" xfId="243"/>
    <cellStyle name="好_第一部分：综合全_表4-4 " xfId="244"/>
    <cellStyle name="Accent6 - 20%" xfId="245"/>
    <cellStyle name="_ET_STYLE_NoName_00__银行账户情况表_2010年12月" xfId="246"/>
    <cellStyle name="好_0605石屏县" xfId="247"/>
    <cellStyle name="差_2006年基础数据_表8-3" xfId="248"/>
    <cellStyle name="_ET_STYLE_NoName_00__云南水利电力有限公司" xfId="249"/>
    <cellStyle name="常规 10" xfId="250"/>
    <cellStyle name="Good" xfId="251"/>
    <cellStyle name="_Sheet1" xfId="252"/>
    <cellStyle name="_本部汇总" xfId="253"/>
    <cellStyle name="20% - Accent1" xfId="254"/>
    <cellStyle name="Accent1 - 20%" xfId="255"/>
    <cellStyle name="20% - Accent2" xfId="256"/>
    <cellStyle name="20% - Accent3" xfId="257"/>
    <cellStyle name="差_卫生部门_2016年1月13日人大报告表格定版 王丽君" xfId="258"/>
    <cellStyle name="20% - Accent4" xfId="259"/>
    <cellStyle name="40% - 强调文字颜色 3_1.13 2017年基金预算表-余超" xfId="260"/>
    <cellStyle name="20% - Accent5" xfId="261"/>
    <cellStyle name="好_奖励补助测算5.22测试_表8-2" xfId="262"/>
    <cellStyle name="20% - Accent6" xfId="263"/>
    <cellStyle name="20% - 强调文字颜色 1 2" xfId="264"/>
    <cellStyle name="Accent5 - 60%" xfId="265"/>
    <cellStyle name="常规 12" xfId="266"/>
    <cellStyle name="20% - 强调文字颜色 1_1.13 2017年基金预算表-余超" xfId="267"/>
    <cellStyle name="好_教育厅提供义务教育及高中教师人数（2009年1月6日）_表4-3" xfId="268"/>
    <cellStyle name="差_~4190974_表4-4 " xfId="269"/>
    <cellStyle name="20% - 强调文字颜色 2 2" xfId="270"/>
    <cellStyle name="Mon閠aire_!!!GO" xfId="271"/>
    <cellStyle name="ColLevel_2" xfId="272"/>
    <cellStyle name="20% - 强调文字颜色 4 2" xfId="273"/>
    <cellStyle name="20% - 强调文字颜色 4_1.13 2017年基金预算表-余超" xfId="274"/>
    <cellStyle name="20% - 强调文字颜色 5 2" xfId="275"/>
    <cellStyle name="差_1110洱源县_2016年1月13日人大报告表格定版 王丽君" xfId="276"/>
    <cellStyle name="好_幸福隧道导洞围岩统计_表4-3" xfId="277"/>
    <cellStyle name="20% - 强调文字颜色 5_1.13 2017年基金预算表-余超" xfId="278"/>
    <cellStyle name="20% - 强调文字颜色 6 2" xfId="279"/>
    <cellStyle name="差_2006年全省财力计算表（中央、决算）_表4-3" xfId="280"/>
    <cellStyle name="20% - 强调文字颜色 6_1.13 2017年基金预算表-余超" xfId="281"/>
    <cellStyle name="40% - Accent1" xfId="282"/>
    <cellStyle name="好_上报格式（经开区收支余）" xfId="283"/>
    <cellStyle name="40% - Accent2" xfId="284"/>
    <cellStyle name="40% - Accent3" xfId="285"/>
    <cellStyle name="好_2008年县级公安保障标准落实奖励经费分配测算_表8-2" xfId="286"/>
    <cellStyle name="40% - Accent4" xfId="287"/>
    <cellStyle name="Normal - Style1" xfId="288"/>
    <cellStyle name="Black" xfId="289"/>
    <cellStyle name="警告文本 2" xfId="290"/>
    <cellStyle name="好_2008年县级公安保障标准落实奖励经费分配测算_表8-3" xfId="291"/>
    <cellStyle name="40% - Accent5" xfId="292"/>
    <cellStyle name="40% - Accent6" xfId="293"/>
    <cellStyle name="强调文字颜色 4_1.13 2017年基金预算表-余超" xfId="294"/>
    <cellStyle name="差_03昭通_2016年1月13日人大报告表格定版 王丽君" xfId="295"/>
    <cellStyle name="40% - 强调文字颜色 1 2" xfId="296"/>
    <cellStyle name="60% - 强调文字颜色 6 2" xfId="297"/>
    <cellStyle name="40% - 强调文字颜色 1_1.13 2017年基金预算表-余超" xfId="298"/>
    <cellStyle name="40% - 强调文字颜色 2 2" xfId="299"/>
    <cellStyle name="好_2009年一般性转移支付标准工资_不用软件计算9.1不考虑经费管理评价xl_表4-4 " xfId="300"/>
    <cellStyle name="好_2006年水利统计指标统计表_2016年1月13日人大报告表格定版 王丽君" xfId="301"/>
    <cellStyle name="40% - 强调文字颜色 2_1.13 2017年基金预算表-余超" xfId="302"/>
    <cellStyle name="40% - 强调文字颜色 3 2" xfId="303"/>
    <cellStyle name="40% - 强调文字颜色 4_1.13 2017年基金预算表-余超" xfId="304"/>
    <cellStyle name="好_2009年一般性转移支付标准工资_~5676413_表8-3" xfId="305"/>
    <cellStyle name="差_~5676413_表4-3" xfId="306"/>
    <cellStyle name="好_Book1_县公司" xfId="307"/>
    <cellStyle name="好_2006年分析表" xfId="308"/>
    <cellStyle name="差_2009年一般性转移支付标准工资_奖励补助测算7.23_2016年1月13日人大报告表格定版 王丽君" xfId="309"/>
    <cellStyle name="40% - 强调文字颜色 5 2" xfId="310"/>
    <cellStyle name="千分位_ 白土" xfId="311"/>
    <cellStyle name="差_2007年检察院案件数_表4-4 " xfId="312"/>
    <cellStyle name="40% - 强调文字颜色 5_1.13 2017年基金预算表-余超" xfId="313"/>
    <cellStyle name="差_1003牟定县" xfId="314"/>
    <cellStyle name="40% - 强调文字颜色 6_1.13 2017年基金预算表-余超" xfId="315"/>
    <cellStyle name="好_530629_2006年县级财政报表附表_表8-3" xfId="316"/>
    <cellStyle name="差_2009年一般性转移支付标准工资_奖励补助测算5.23新_表8-2" xfId="317"/>
    <cellStyle name="60% - Accent1" xfId="318"/>
    <cellStyle name="差_表8-3_2015年1月17日人大报告表格定版" xfId="319"/>
    <cellStyle name="差_2009年一般性转移支付标准工资_奖励补助测算5.23新_表8-3" xfId="320"/>
    <cellStyle name="差_00省级(打印)_表4-3" xfId="321"/>
    <cellStyle name="好_03昭通_表8-2" xfId="322"/>
    <cellStyle name="部门" xfId="323"/>
    <cellStyle name="60% - Accent2" xfId="324"/>
    <cellStyle name="60% - Accent3" xfId="325"/>
    <cellStyle name="PSInt" xfId="326"/>
    <cellStyle name="60% - Accent4" xfId="327"/>
    <cellStyle name="per.style" xfId="328"/>
    <cellStyle name="Hyperlink_AheadBehind.xls Chart 23" xfId="329"/>
    <cellStyle name="强调文字颜色 4 2" xfId="330"/>
    <cellStyle name="60% - Accent5" xfId="331"/>
    <cellStyle name="60% - Accent6" xfId="332"/>
    <cellStyle name="差_2009年一般性转移支付标准工资_奖励补助测算5.24冯铸_2016年1月13日人大报告表格定版 王丽君" xfId="333"/>
    <cellStyle name="好_检验表" xfId="334"/>
    <cellStyle name="t" xfId="335"/>
    <cellStyle name="Heading 4" xfId="336"/>
    <cellStyle name="60% - 强调文字颜色 1 2" xfId="337"/>
    <cellStyle name="ColLevel_4" xfId="338"/>
    <cellStyle name="60% - 强调文字颜色 2 2" xfId="339"/>
    <cellStyle name="60% - 强调文字颜色 2_1.13 2017年基金预算表-余超" xfId="340"/>
    <cellStyle name="差_Book1_县公司_表8-3" xfId="341"/>
    <cellStyle name="60% - 强调文字颜色 3 2" xfId="342"/>
    <cellStyle name="差_高中教师人数（教育厅1.6日提供）_表4-4 " xfId="343"/>
    <cellStyle name="差_2009年一般性转移支付标准工资_奖励补助测算5.22测试_表8-3" xfId="344"/>
    <cellStyle name="Neutral" xfId="345"/>
    <cellStyle name="差_建行_表4-4 " xfId="346"/>
    <cellStyle name="60% - 强调文字颜色 4 2" xfId="347"/>
    <cellStyle name="60% - 强调文字颜色 4_1.13 2017年基金预算表-余超" xfId="348"/>
    <cellStyle name="60% - 强调文字颜色 5 2" xfId="349"/>
    <cellStyle name="PSHeading" xfId="350"/>
    <cellStyle name="差_上报格式（经开区收支余）_表4-4 " xfId="351"/>
    <cellStyle name="Input_2016年1月13日人大报告表格定版 王丽君" xfId="352"/>
    <cellStyle name="Calculation" xfId="353"/>
    <cellStyle name="60% - 强调文字颜色 5_1.13 2017年基金预算表-余超" xfId="354"/>
    <cellStyle name="60% - 强调文字颜色 6_1.13 2017年基金预算表-余超" xfId="355"/>
    <cellStyle name="差_1110洱源县_表4-4 " xfId="356"/>
    <cellStyle name="6mal" xfId="357"/>
    <cellStyle name="Accent1" xfId="358"/>
    <cellStyle name="Accent1 - 60%" xfId="359"/>
    <cellStyle name="差_2009年一般性转移支付标准工资_地方配套按人均增幅控制8.30xl_表8-2" xfId="360"/>
    <cellStyle name="差_2006年基础数据_表4-3" xfId="361"/>
    <cellStyle name="Accent2" xfId="362"/>
    <cellStyle name="差_2009年一般性转移支付标准工资_地方配套按人均增幅控制8.30xl_表8-3" xfId="363"/>
    <cellStyle name="差_2009年一般性转移支付标准工资_~4190974_2016年1月13日人大报告表格定版 王丽君" xfId="364"/>
    <cellStyle name="Accent3" xfId="365"/>
    <cellStyle name="差_2007年检察院案件数" xfId="366"/>
    <cellStyle name="好_0502通海县_表8-2" xfId="367"/>
    <cellStyle name="Milliers_!!!GO" xfId="368"/>
    <cellStyle name="Accent3 - 20%" xfId="369"/>
    <cellStyle name="Mon閠aire [0]_!!!GO" xfId="370"/>
    <cellStyle name="Accent3 - 40%" xfId="371"/>
    <cellStyle name="好_2009年一般性转移支付标准工资_~4190974" xfId="372"/>
    <cellStyle name="Accent3 - 60%" xfId="373"/>
    <cellStyle name="常规_附件1" xfId="374"/>
    <cellStyle name="Border" xfId="375"/>
    <cellStyle name="Accent4" xfId="376"/>
    <cellStyle name="Accent4 - 20%" xfId="377"/>
    <cellStyle name="Accent4 - 40%" xfId="378"/>
    <cellStyle name="好_奖励补助测算7.25 (version 1) (version 1)_2016年1月13日人大报告表格定版 王丽君" xfId="379"/>
    <cellStyle name="差_2006年全省财力计算表（中央、决算）_表4-4 " xfId="380"/>
    <cellStyle name="Accent4 - 60%" xfId="381"/>
    <cellStyle name="捠壿 [0.00]_Region Orders (2)" xfId="382"/>
    <cellStyle name="好_云南水利电力有限公司_表8-3" xfId="383"/>
    <cellStyle name="差_2009年一般性转移支付标准工资_奖励补助测算5.23新" xfId="384"/>
    <cellStyle name="好_文体广播部门_表8-3" xfId="385"/>
    <cellStyle name="Accent4_2016年1月13日人大报告表格定版 王丽君" xfId="386"/>
    <cellStyle name="Accent5" xfId="387"/>
    <cellStyle name="Accent5_2016年1月13日人大报告表格定版 王丽君" xfId="388"/>
    <cellStyle name="Accent6" xfId="389"/>
    <cellStyle name="Accent6 - 40%" xfId="390"/>
    <cellStyle name="Accent6 - 60%" xfId="391"/>
    <cellStyle name="差_03昭通_表4-4 " xfId="392"/>
    <cellStyle name="标题 1_Book1" xfId="393"/>
    <cellStyle name="好_2009年一般性转移支付标准工资_奖励补助测算5.24冯铸_表8-3" xfId="394"/>
    <cellStyle name="Accent6_2016年1月13日人大报告表格定版 王丽君" xfId="395"/>
    <cellStyle name="Bad" xfId="396"/>
    <cellStyle name="好_2006年在职人员情况_表8-3" xfId="397"/>
    <cellStyle name="Calc Currency (0)" xfId="398"/>
    <cellStyle name="Check Cell" xfId="399"/>
    <cellStyle name="ColLevel_3" xfId="400"/>
    <cellStyle name="ColLevel_6" xfId="401"/>
    <cellStyle name="ColLevel_7" xfId="402"/>
    <cellStyle name="好_城建部门_2016年1月13日人大报告表格定版 王丽君" xfId="403"/>
    <cellStyle name="Column_Title" xfId="404"/>
    <cellStyle name="标题 2 2" xfId="405"/>
    <cellStyle name="Grey" xfId="406"/>
    <cellStyle name="好_Book1_银行账户情况表_2010年12月_表4-4 " xfId="407"/>
    <cellStyle name="Comma [0]" xfId="408"/>
    <cellStyle name="Comma [0] 2" xfId="409"/>
    <cellStyle name="差_2009年一般性转移支付标准工资_表4-4 " xfId="410"/>
    <cellStyle name="千位分隔 3" xfId="411"/>
    <cellStyle name="标题 4 2" xfId="412"/>
    <cellStyle name="好_Book1_2" xfId="413"/>
    <cellStyle name="Comma 2 2" xfId="414"/>
    <cellStyle name="好_2007年政法部门业务指标_表8-2" xfId="415"/>
    <cellStyle name="差_2007年检察院案件数_表8-3" xfId="416"/>
    <cellStyle name="好_第一部分：综合全" xfId="417"/>
    <cellStyle name="标题 5" xfId="418"/>
    <cellStyle name="Pourcentage_pldt" xfId="419"/>
    <cellStyle name="Comma 3" xfId="420"/>
    <cellStyle name="Comma 4" xfId="421"/>
    <cellStyle name="差_2006年全省财力计算表（中央、决算）_表8-3" xfId="422"/>
    <cellStyle name="통화_BOILER-CO1" xfId="423"/>
    <cellStyle name="comma zerodec" xfId="424"/>
    <cellStyle name="差_2006年在职人员情况_表4-4 " xfId="425"/>
    <cellStyle name="Comma_!!!GO" xfId="426"/>
    <cellStyle name="差_1110洱源县_表8-2" xfId="427"/>
    <cellStyle name="comma-d" xfId="428"/>
    <cellStyle name="Currency1" xfId="429"/>
    <cellStyle name="Date" xfId="430"/>
    <cellStyle name="Dezimal_laroux" xfId="431"/>
    <cellStyle name="Dollar (zero dec)" xfId="432"/>
    <cellStyle name="RowLevel_1" xfId="433"/>
    <cellStyle name="差_1110洱源县" xfId="434"/>
    <cellStyle name="Explanatory Text" xfId="435"/>
    <cellStyle name="Fixed" xfId="436"/>
    <cellStyle name="Followed Hyperlink_AheadBehind.xls Chart 23" xfId="437"/>
    <cellStyle name="gcd" xfId="438"/>
    <cellStyle name="Header1" xfId="439"/>
    <cellStyle name="Header2" xfId="440"/>
    <cellStyle name="好_丽江汇总_2016年1月13日人大报告表格定版 王丽君" xfId="441"/>
    <cellStyle name="差_2008云南省分县市中小学教职工统计表（教育厅提供）_表8-2" xfId="442"/>
    <cellStyle name="HEADING1" xfId="443"/>
    <cellStyle name="差_2008云南省分县市中小学教职工统计表（教育厅提供）_表8-3" xfId="444"/>
    <cellStyle name="HEADING2" xfId="445"/>
    <cellStyle name="Input [yellow]" xfId="446"/>
    <cellStyle name="差_0605石屏县_表8-2" xfId="447"/>
    <cellStyle name="强调文字颜色 5_1.13 2017年基金预算表-余超" xfId="448"/>
    <cellStyle name="Input Cells" xfId="449"/>
    <cellStyle name="好_2009年一般性转移支付标准工资_奖励补助测算7.25_表8-3" xfId="450"/>
    <cellStyle name="好_05玉溪_2016年1月13日人大报告表格定版 王丽君" xfId="451"/>
    <cellStyle name="归盒啦_95" xfId="452"/>
    <cellStyle name="Linked Cell" xfId="453"/>
    <cellStyle name="Linked Cells" xfId="454"/>
    <cellStyle name="Valuta_pldt" xfId="455"/>
    <cellStyle name="Millares [0]_96 Risk" xfId="456"/>
    <cellStyle name="Millares_96 Risk" xfId="457"/>
    <cellStyle name="Milliers [0]_!!!GO" xfId="458"/>
    <cellStyle name="好_2009年一般性转移支付标准工资_奖励补助测算5.22测试_表4-4 " xfId="459"/>
    <cellStyle name="Moneda [0]_96 Risk" xfId="460"/>
    <cellStyle name="好_奖励补助测算5.23新_表4-4 " xfId="461"/>
    <cellStyle name="差_指标五_表4-4 " xfId="462"/>
    <cellStyle name="Moneda_96 Risk" xfId="463"/>
    <cellStyle name="New Times Roman" xfId="464"/>
    <cellStyle name="no dec" xfId="465"/>
    <cellStyle name="Non défini" xfId="466"/>
    <cellStyle name="差_00省级(打印)_2016年1月13日人大报告表格定版 王丽君" xfId="467"/>
    <cellStyle name="Norma,_laroux_4_营业在建 (2)_E21" xfId="468"/>
    <cellStyle name="Normal 2" xfId="469"/>
    <cellStyle name="差_2009年一般性转移支付标准工资_地方配套按人均增幅控制8.31（调整结案率后）xl" xfId="470"/>
    <cellStyle name="Normal 3" xfId="471"/>
    <cellStyle name="好_历年教师人数" xfId="472"/>
    <cellStyle name="Normal_!!!GO" xfId="473"/>
    <cellStyle name="好_Book1_表8-2" xfId="474"/>
    <cellStyle name="Note" xfId="475"/>
    <cellStyle name="好_地方配套按人均增幅控制8.30xl_表4-3" xfId="476"/>
    <cellStyle name="Percent [2]" xfId="477"/>
    <cellStyle name="Percent 3" xfId="478"/>
    <cellStyle name="Percent_!!!GO" xfId="479"/>
    <cellStyle name="PSDate" xfId="480"/>
    <cellStyle name="差_00省级(打印)" xfId="481"/>
    <cellStyle name="PSSpacer" xfId="482"/>
    <cellStyle name="差_2009年一般性转移支付标准工资_~5676413_表8-3" xfId="483"/>
    <cellStyle name="Red" xfId="484"/>
    <cellStyle name="RowLevel_0" xfId="485"/>
    <cellStyle name="差_2008年县级公安保障标准落实奖励经费分配测算" xfId="486"/>
    <cellStyle name="RowLevel_2" xfId="487"/>
    <cellStyle name="RowLevel_3" xfId="488"/>
    <cellStyle name="RowLevel_4" xfId="489"/>
    <cellStyle name="差_2009年一般性转移支付标准工资_地方配套按人均增幅控制8.30一般预算平均增幅、人均可用财力平均增幅两次控制、社会治安系数调整、案件数调整xl_表4-3" xfId="490"/>
    <cellStyle name="sstot" xfId="491"/>
    <cellStyle name="标题 2_Book1" xfId="492"/>
    <cellStyle name="差_2009年一般性转移支付标准工资_地方配套按人均增幅控制8.30一般预算平均增幅、人均可用财力平均增幅两次控制、社会治安系数调整、案件数调整xl_表4-4 " xfId="493"/>
    <cellStyle name="Standard_AREAS" xfId="494"/>
    <cellStyle name="Style 1" xfId="495"/>
    <cellStyle name="t_HVAC Equipment (3)" xfId="496"/>
    <cellStyle name="好_奖励补助测算5.22测试_表4-4 " xfId="497"/>
    <cellStyle name="差_2009年一般性转移支付标准工资_地方配套按人均增幅控制8.30xl" xfId="498"/>
    <cellStyle name="Tickmark" xfId="499"/>
    <cellStyle name="Total" xfId="500"/>
    <cellStyle name="Tusental (0)_pldt" xfId="501"/>
    <cellStyle name="Tusental_pldt" xfId="502"/>
    <cellStyle name="Valuta (0)_pldt" xfId="503"/>
    <cellStyle name="Warning Text" xfId="504"/>
    <cellStyle name="差_2007年可用财力_表4-4 " xfId="505"/>
    <cellStyle name="百分比 2" xfId="506"/>
    <cellStyle name="百分比 3" xfId="507"/>
    <cellStyle name="捠壿_Region Orders (2)" xfId="508"/>
    <cellStyle name="编号" xfId="509"/>
    <cellStyle name="差_0605石屏县_表4-3" xfId="510"/>
    <cellStyle name="标题 3 2" xfId="511"/>
    <cellStyle name="标题 3_Book1" xfId="512"/>
    <cellStyle name="标题 4_Book1" xfId="513"/>
    <cellStyle name="差_11大理_表8-3" xfId="514"/>
    <cellStyle name="标题_2016年基金测算表 (单项)" xfId="515"/>
    <cellStyle name="好_00省级(打印)" xfId="516"/>
    <cellStyle name="标题1" xfId="517"/>
    <cellStyle name="表标题" xfId="518"/>
    <cellStyle name="差_M03_表8-3" xfId="519"/>
    <cellStyle name="差 2" xfId="520"/>
    <cellStyle name="差_~4190974" xfId="521"/>
    <cellStyle name="差_~4190974_2016年1月13日人大报告表格定版 王丽君" xfId="522"/>
    <cellStyle name="好_2009年一般性转移支付标准工资_~4190974_表8-3" xfId="523"/>
    <cellStyle name="差_~4190974_表4-3" xfId="524"/>
    <cellStyle name="差_~4190974_表8-2" xfId="525"/>
    <cellStyle name="差_~4190974_表8-3" xfId="526"/>
    <cellStyle name="差_~5676413" xfId="527"/>
    <cellStyle name="差_~5676413_表4-4 " xfId="528"/>
    <cellStyle name="差_~5676413_表8-2" xfId="529"/>
    <cellStyle name="差_00省级(打印)_表4-4 " xfId="530"/>
    <cellStyle name="差_00省级(打印)_表8-2" xfId="531"/>
    <cellStyle name="差_11大理_表4-4 " xfId="532"/>
    <cellStyle name="差_00省级(打印)_表8-3" xfId="533"/>
    <cellStyle name="差_00省级(定稿)" xfId="534"/>
    <cellStyle name="好_00省级(打印)_表8-2" xfId="535"/>
    <cellStyle name="差_00省级(定稿)_2016年1月13日人大报告表格定版 王丽君" xfId="536"/>
    <cellStyle name="差_00省级(定稿)_表4-3" xfId="537"/>
    <cellStyle name="差_2009年一般性转移支付标准工资" xfId="538"/>
    <cellStyle name="差_2009年一般性转移支付标准工资_奖励补助测算5.22测试_表4-3" xfId="539"/>
    <cellStyle name="差_00省级(定稿)_表4-4 " xfId="540"/>
    <cellStyle name="好_县级公安机关公用经费标准奖励测算方案（定稿）" xfId="541"/>
    <cellStyle name="差_2009年一般性转移支付标准工资_~4190974_表8-3" xfId="542"/>
    <cellStyle name="差_00省级(定稿)_表8-2" xfId="543"/>
    <cellStyle name="差_00省级(定稿)_表8-3" xfId="544"/>
    <cellStyle name="好_定稿-2016年1月14日下午印刷厂人大报告表格" xfId="545"/>
    <cellStyle name="差_03昭通_表4-3" xfId="546"/>
    <cellStyle name="差_03昭通_表8-2" xfId="547"/>
    <cellStyle name="差_03昭通_表8-3" xfId="548"/>
    <cellStyle name="差_0502通海县_2016年1月13日人大报告表格定版 王丽君" xfId="549"/>
    <cellStyle name="差_0502通海县_表4-3" xfId="550"/>
    <cellStyle name="差_0502通海县_表8-2" xfId="551"/>
    <cellStyle name="差_0502通海县_表8-3" xfId="552"/>
    <cellStyle name="差_05玉溪" xfId="553"/>
    <cellStyle name="差_2009年一般性转移支付标准工资_~4190974_表8-2" xfId="554"/>
    <cellStyle name="差_05玉溪_2016年1月13日人大报告表格定版 王丽君" xfId="555"/>
    <cellStyle name="差_0605石屏县_表8-3" xfId="556"/>
    <cellStyle name="常规 2 11" xfId="557"/>
    <cellStyle name="差_05玉溪_表4-3" xfId="558"/>
    <cellStyle name="差_05玉溪_表4-4 " xfId="559"/>
    <cellStyle name="差_2006年全省财力计算表（中央、决算）_2016年1月13日人大报告表格定版 王丽君" xfId="560"/>
    <cellStyle name="好_2009年一般性转移支付标准工资_地方配套按人均增幅控制8.30一般预算平均增幅、人均可用财力平均增幅两次控制、社会治安系数调整、案件数调整xl_表4-4 " xfId="561"/>
    <cellStyle name="差_05玉溪_表8-2" xfId="562"/>
    <cellStyle name="差_2009年一般性转移支付标准工资_奖励补助测算5.22测试_表4-4 " xfId="563"/>
    <cellStyle name="差_05玉溪_表8-3" xfId="564"/>
    <cellStyle name="差_0605石屏县_2016年1月13日人大报告表格定版 王丽君" xfId="565"/>
    <cellStyle name="差_0605石屏县_表4-4 " xfId="566"/>
    <cellStyle name="差_1.13 2017年基金预算表-余超" xfId="567"/>
    <cellStyle name="差_1110洱源县_表8-3" xfId="568"/>
    <cellStyle name="差_2007年检察院案件数_表4-3" xfId="569"/>
    <cellStyle name="差_11大理" xfId="570"/>
    <cellStyle name="差_11大理_2016年1月13日人大报告表格定版 王丽君" xfId="571"/>
    <cellStyle name="差_11大理_表8-2" xfId="572"/>
    <cellStyle name="差_2、土地面积、人口、粮食产量基本情况" xfId="573"/>
    <cellStyle name="差_2、土地面积、人口、粮食产量基本情况_2016年1月13日人大报告表格定版 王丽君" xfId="574"/>
    <cellStyle name="差_2、土地面积、人口、粮食产量基本情况_表4-3" xfId="575"/>
    <cellStyle name="差_2、土地面积、人口、粮食产量基本情况_表8-2" xfId="576"/>
    <cellStyle name="差_5334_2006年迪庆县级财政报表附表_表8-2" xfId="577"/>
    <cellStyle name="差_2、土地面积、人口、粮食产量基本情况_表8-3" xfId="578"/>
    <cellStyle name="差_教师绩效工资测算表（离退休按各地上报数测算）2009年1月1日_2016年1月13日人大报告表格定版 王丽君" xfId="579"/>
    <cellStyle name="差_2007年政法部门业务指标_2016年1月13日人大报告表格定版 王丽君" xfId="580"/>
    <cellStyle name="好_奖励补助测算5.24冯铸_表4-3" xfId="581"/>
    <cellStyle name="差_2006年分析表_2016年1月13日人大报告表格定版 王丽君" xfId="582"/>
    <cellStyle name="差_2009年一般性转移支付标准工资_地方配套按人均增幅控制8.31（调整结案率后）xl_2016年1月13日人大报告表格定版 王丽君" xfId="583"/>
    <cellStyle name="差_教师绩效工资测算表（离退休按各地上报数测算）2009年1月1日_表4-3" xfId="584"/>
    <cellStyle name="差_2007年政法部门业务指标_表4-3" xfId="585"/>
    <cellStyle name="差_2006年分析表_表4-3" xfId="586"/>
    <cellStyle name="差_2006年基础数据_2016年1月13日人大报告表格定版 王丽君" xfId="587"/>
    <cellStyle name="差_2006年基础数据_表8-2" xfId="588"/>
    <cellStyle name="差_2006年水利统计指标统计表" xfId="589"/>
    <cellStyle name="差_2006年水利统计指标统计表_2016年1月13日人大报告表格定版 王丽君" xfId="590"/>
    <cellStyle name="差_2006年水利统计指标统计表_表4-3" xfId="591"/>
    <cellStyle name="差_2006年在职人员情况" xfId="592"/>
    <cellStyle name="差_2009年一般性转移支付标准工资_奖励补助测算5.24冯铸_表4-3" xfId="593"/>
    <cellStyle name="差_2006年在职人员情况_2016年1月13日人大报告表格定版 王丽君" xfId="594"/>
    <cellStyle name="差_2009年一般性转移支付标准工资_地方配套按人均增幅控制8.31（调整结案率后）xl_表4-4 " xfId="595"/>
    <cellStyle name="常规_转换4001 2_2016年各开发区收支预算草案（汇总）" xfId="596"/>
    <cellStyle name="差_2006年在职人员情况_表8-2" xfId="597"/>
    <cellStyle name="好_2009年一般性转移支付标准工资_奖励补助测算7.23_表8-2" xfId="598"/>
    <cellStyle name="差_2006年在职人员情况_表8-3" xfId="599"/>
    <cellStyle name="差_业务工作量指标" xfId="600"/>
    <cellStyle name="差_表8-3_2016年1月11日人大报告表格 1" xfId="601"/>
    <cellStyle name="差_2009年一般性转移支付标准工资_奖励补助测算5.22测试_表8-2" xfId="602"/>
    <cellStyle name="差_2007年可用财力" xfId="603"/>
    <cellStyle name="差_2007年可用财力_2016年1月13日人大报告表格定版 王丽君" xfId="604"/>
    <cellStyle name="差_2007年可用财力_表4-3" xfId="605"/>
    <cellStyle name="差_2009年一般性转移支付标准工资_地方配套按人均增幅控制8.30一般预算平均增幅、人均可用财力平均增幅两次控制、社会治安系数调整、案件数调整xl_表8-2" xfId="606"/>
    <cellStyle name="好_云南省2008年中小学教师人数统计表_表8-2" xfId="607"/>
    <cellStyle name="差_指标四_表4-4 " xfId="608"/>
    <cellStyle name="差_2007年人员分部门统计表" xfId="609"/>
    <cellStyle name="差_2007年人员分部门统计表_表4-3" xfId="610"/>
    <cellStyle name="差_2007年人员分部门统计表_表4-4 " xfId="611"/>
    <cellStyle name="差_2009年一般性转移支付标准工资_地方配套按人均增幅控制8.31（调整结案率后）xl_表8-3" xfId="612"/>
    <cellStyle name="常规_附表3：2015年基金预算表" xfId="613"/>
    <cellStyle name="差_2009年一般性转移支付标准工资_~5676413_表8-2" xfId="614"/>
    <cellStyle name="差_2007年人员分部门统计表_表8-2" xfId="615"/>
    <cellStyle name="差_2007年人员分部门统计表_表8-3" xfId="616"/>
    <cellStyle name="好_地方配套按人均增幅控制8.30一般预算平均增幅、人均可用财力平均增幅两次控制、社会治安系数调整、案件数调整xl" xfId="617"/>
    <cellStyle name="差_2008年县级公安保障标准落实奖励经费分配测算_2016年1月13日人大报告表格定版 王丽君" xfId="618"/>
    <cellStyle name="差_2009年一般性转移支付标准工资_奖励补助测算5.22测试_2016年1月13日人大报告表格定版 王丽君" xfId="619"/>
    <cellStyle name="差_2008年县级公安保障标准落实奖励经费分配测算_表4-4 " xfId="620"/>
    <cellStyle name="差_2008年县级公安保障标准落实奖励经费分配测算_表8-2" xfId="621"/>
    <cellStyle name="差_奖励补助测算5.23新_表4-3" xfId="622"/>
    <cellStyle name="差_奖励补助测算5.23新_2016年1月13日人大报告表格定版 王丽君" xfId="623"/>
    <cellStyle name="差_2008云南省分县市中小学教职工统计表（教育厅提供）" xfId="624"/>
    <cellStyle name="好_2009年一般性转移支付标准工资" xfId="625"/>
    <cellStyle name="差_2008云南省分县市中小学教职工统计表（教育厅提供）_2016年1月13日人大报告表格定版 王丽君" xfId="626"/>
    <cellStyle name="差_2008云南省分县市中小学教职工统计表（教育厅提供）_表4-3" xfId="627"/>
    <cellStyle name="差_2009年一般性转移支付标准工资_地方配套按人均增幅控制8.30一般预算平均增幅、人均可用财力平均增幅两次控制、社会治安系数调整、案件数调整xl_表8-3" xfId="628"/>
    <cellStyle name="好_云南省2008年中小学教师人数统计表_表8-3" xfId="629"/>
    <cellStyle name="差_2008云南省分县市中小学教职工统计表（教育厅提供）_表4-4 " xfId="630"/>
    <cellStyle name="差_2009年一般性转移支付标准工资_表4-3" xfId="631"/>
    <cellStyle name="差_2009年一般性转移支付标准工资_~4190974" xfId="632"/>
    <cellStyle name="好_奖励补助测算5.22测试_表8-3" xfId="633"/>
    <cellStyle name="差_2009年一般性转移支付标准工资_~4190974_表4-3" xfId="634"/>
    <cellStyle name="差_2009年一般性转移支付标准工资_~4190974_表4-4 " xfId="635"/>
    <cellStyle name="差_2009年一般性转移支付标准工资_~5676413" xfId="636"/>
    <cellStyle name="差_5334_2006年迪庆县级财政报表附表_表4-4 " xfId="637"/>
    <cellStyle name="差_2009年一般性转移支付标准工资_~5676413_表4-3" xfId="638"/>
    <cellStyle name="好_Book1_银行账户情况表_2010年12月_表8-3" xfId="639"/>
    <cellStyle name="差_2009年一般性转移支付标准工资_~5676413_表4-4 " xfId="640"/>
    <cellStyle name="差_2009年一般性转移支付标准工资_2016年1月13日人大报告表格定版 王丽君" xfId="641"/>
    <cellStyle name="差_2009年一般性转移支付标准工资_表8-2" xfId="642"/>
    <cellStyle name="差_2009年一般性转移支付标准工资_表8-3" xfId="643"/>
    <cellStyle name="差_检验表_表8-2" xfId="644"/>
    <cellStyle name="差_2009年一般性转移支付标准工资_不用软件计算9.1不考虑经费管理评价xl" xfId="645"/>
    <cellStyle name="差_历年教师人数_表4-4 " xfId="646"/>
    <cellStyle name="差_2009年一般性转移支付标准工资_奖励补助测算7.23_表8-3" xfId="647"/>
    <cellStyle name="差_2009年一般性转移支付标准工资_不用软件计算9.1不考虑经费管理评价xl_2016年1月13日人大报告表格定版 王丽君" xfId="648"/>
    <cellStyle name="差_2009年一般性转移支付标准工资_不用软件计算9.1不考虑经费管理评价xl_表4-4 " xfId="649"/>
    <cellStyle name="差_2009年一般性转移支付标准工资_不用软件计算9.1不考虑经费管理评价xl_表8-2" xfId="650"/>
    <cellStyle name="千位[0]_ 方正PC" xfId="651"/>
    <cellStyle name="差_教育厅提供义务教育及高中教师人数（2009年1月6日）_2016年1月13日人大报告表格定版 王丽君" xfId="652"/>
    <cellStyle name="差_2009年一般性转移支付标准工资_不用软件计算9.1不考虑经费管理评价xl_表8-3" xfId="653"/>
    <cellStyle name="差_2009年一般性转移支付标准工资_地方配套按人均增幅控制8.30xl_2016年1月13日人大报告表格定版 王丽君" xfId="654"/>
    <cellStyle name="差_2009年一般性转移支付标准工资_地方配套按人均增幅控制8.30xl_表4-3" xfId="655"/>
    <cellStyle name="差_2009年一般性转移支付标准工资_地方配套按人均增幅控制8.30xl_表4-4 " xfId="656"/>
    <cellStyle name="差_下半年禁毒办案经费分配2544.3万元_表4-4 " xfId="657"/>
    <cellStyle name="差_2009年一般性转移支付标准工资_地方配套按人均增幅控制8.30一般预算平均增幅、人均可用财力平均增幅两次控制、社会治安系数调整、案件数调整xl" xfId="658"/>
    <cellStyle name="差_2009年一般性转移支付标准工资_地方配套按人均增幅控制8.31（调整结案率后）xl_表4-3" xfId="659"/>
    <cellStyle name="差_2009年一般性转移支付标准工资_奖励补助测算5.23新_表4-3" xfId="660"/>
    <cellStyle name="差_2009年一般性转移支付标准工资_奖励补助测算5.23新_表4-4 " xfId="661"/>
    <cellStyle name="差_2009年一般性转移支付标准工资_奖励补助测算5.24冯铸" xfId="662"/>
    <cellStyle name="差_2009年一般性转移支付标准工资_奖励补助测算5.24冯铸_表4-4 " xfId="663"/>
    <cellStyle name="差_2009年一般性转移支付标准工资_奖励补助测算5.24冯铸_表8-2" xfId="664"/>
    <cellStyle name="好_检验表（调整后）_表8-2" xfId="665"/>
    <cellStyle name="差_2009年一般性转移支付标准工资_奖励补助测算5.24冯铸_表8-3" xfId="666"/>
    <cellStyle name="差_2009年一般性转移支付标准工资_奖励补助测算7.23" xfId="667"/>
    <cellStyle name="好_2009年一般性转移支付标准工资_表4-4 " xfId="668"/>
    <cellStyle name="差_2009年一般性转移支付标准工资_奖励补助测算7.23_表4-3" xfId="669"/>
    <cellStyle name="差_2009年一般性转移支付标准工资_奖励补助测算7.23_表4-4 " xfId="670"/>
    <cellStyle name="差_2009年一般性转移支付标准工资_奖励补助测算7.23_表8-2" xfId="671"/>
    <cellStyle name="差_2009年一般性转移支付标准工资_奖励补助测算7.25" xfId="672"/>
    <cellStyle name="差_2009年一般性转移支付标准工资_奖励补助测算7.25 (version 1) (version 1)" xfId="673"/>
    <cellStyle name="差_2009年一般性转移支付标准工资_奖励补助测算7.25 (version 1) (version 1)_2016年1月13日人大报告表格定版 王丽君" xfId="674"/>
    <cellStyle name="差_2009年一般性转移支付标准工资_奖励补助测算7.25 (version 1) (version 1)_表4-3" xfId="675"/>
    <cellStyle name="差_2009年一般性转移支付标准工资_奖励补助测算7.25 (version 1) (version 1)_表4-4 " xfId="676"/>
    <cellStyle name="差_2009年一般性转移支付标准工资_奖励补助测算7.25 (version 1) (version 1)_表8-2" xfId="677"/>
    <cellStyle name="差_2009年一般性转移支付标准工资_奖励补助测算7.25 (version 1) (version 1)_表8-3" xfId="678"/>
    <cellStyle name="差_2009年一般性转移支付标准工资_奖励补助测算7.25_2016年1月13日人大报告表格定版 王丽君" xfId="679"/>
    <cellStyle name="差_2009年一般性转移支付标准工资_奖励补助测算7.25_表4-3" xfId="680"/>
    <cellStyle name="差_2009年一般性转移支付标准工资_奖励补助测算7.25_表4-4 " xfId="681"/>
    <cellStyle name="差_2009年一般性转移支付标准工资_奖励补助测算7.25_表8-2" xfId="682"/>
    <cellStyle name="差_2009年一般性转移支付标准工资_奖励补助测算7.25_表8-3" xfId="683"/>
    <cellStyle name="好_文体广播部门_表8-2" xfId="684"/>
    <cellStyle name="差_2016年1月12日中午余超发来12.23（汇总）2016年基金预算表" xfId="685"/>
    <cellStyle name="差_2016年1月12日中午余超发来12.23（汇总）2016年基金预算表_表4-3" xfId="686"/>
    <cellStyle name="好_1003牟定县" xfId="687"/>
    <cellStyle name="差_Book1_1_表8-3" xfId="688"/>
    <cellStyle name="差_2016年1月12日中午余超发来12.23（汇总）2016年基金预算表_表4-4 " xfId="689"/>
    <cellStyle name="差_2016年1月12日中午余超发来12.23（汇总）2016年基金预算表_表8-2" xfId="690"/>
    <cellStyle name="差_2016年1月12日中午余超发来12.23（汇总）2016年基金预算表_表8-3" xfId="691"/>
    <cellStyle name="差_2016年基金预算表格" xfId="692"/>
    <cellStyle name="常规 2 10 4 3 3 2 4 2 2" xfId="693"/>
    <cellStyle name="差_2016年基金预算表格_表4-3" xfId="694"/>
    <cellStyle name="差_2016年基金预算表格_表4-4 " xfId="695"/>
    <cellStyle name="好_奖励补助测算7.25_表4-3" xfId="696"/>
    <cellStyle name="差_2016年基金预算表格_表8-2" xfId="697"/>
    <cellStyle name="差_2016年基金预算表格_表8-3" xfId="698"/>
    <cellStyle name="差_530623_2006年县级财政报表附表" xfId="699"/>
    <cellStyle name="好_教师绩效工资测算表（离退休按各地上报数测算）2009年1月1日_表8-3" xfId="700"/>
    <cellStyle name="差_530629_2006年县级财政报表附表" xfId="701"/>
    <cellStyle name="差_Book1_银行账户情况表_2010年12月_表8-2" xfId="702"/>
    <cellStyle name="差_530629_2006年县级财政报表附表_2016年1月13日人大报告表格定版 王丽君" xfId="703"/>
    <cellStyle name="常规 13" xfId="704"/>
    <cellStyle name="差_530629_2006年县级财政报表附表_表4-3" xfId="705"/>
    <cellStyle name="差_530629_2006年县级财政报表附表_表4-4 " xfId="706"/>
    <cellStyle name="差_530629_2006年县级财政报表附表_表8-2" xfId="707"/>
    <cellStyle name="常规_表2-3 _2016年1月13日人大报告表格定版 王丽君" xfId="708"/>
    <cellStyle name="差_530629_2006年县级财政报表附表_表8-3" xfId="709"/>
    <cellStyle name="差_5334_2006年迪庆县级财政报表附表" xfId="710"/>
    <cellStyle name="差_5334_2006年迪庆县级财政报表附表_2016年1月13日人大报告表格定版 王丽君" xfId="711"/>
    <cellStyle name="差_5334_2006年迪庆县级财政报表附表_表4-3" xfId="712"/>
    <cellStyle name="差_5334_2006年迪庆县级财政报表附表_表8-3" xfId="713"/>
    <cellStyle name="好_地方配套按人均增幅控制8.31（调整结案率后）xl" xfId="714"/>
    <cellStyle name="差_Book1" xfId="715"/>
    <cellStyle name="差_Book1_1" xfId="716"/>
    <cellStyle name="差_Book1_1_2016年1月13日人大报告表格定版 王丽君" xfId="717"/>
    <cellStyle name="差_Book1_1_表4-3" xfId="718"/>
    <cellStyle name="差_Book1_1_表4-4 " xfId="719"/>
    <cellStyle name="差_Book1_1_表8-2" xfId="720"/>
    <cellStyle name="好_2009年一般性转移支付标准工资_不用软件计算9.1不考虑经费管理评价xl" xfId="721"/>
    <cellStyle name="差_云南省2008年转移支付测算——州市本级考核部分及政策性测算_表8-2" xfId="722"/>
    <cellStyle name="差_Book1_2" xfId="723"/>
    <cellStyle name="好_地方配套按人均增幅控制8.31（调整结案率后）xl_2016年1月13日人大报告表格定版 王丽君" xfId="724"/>
    <cellStyle name="差_Book1_2016年1月13日人大报告表格定版 王丽君" xfId="725"/>
    <cellStyle name="好_地方配套按人均增幅控制8.31（调整结案率后）xl_表4-3" xfId="726"/>
    <cellStyle name="差_Book1_表4-3" xfId="727"/>
    <cellStyle name="计算_1.13 2017年基金预算表-余超" xfId="728"/>
    <cellStyle name="好_地方配套按人均增幅控制8.31（调整结案率后）xl_表4-4 " xfId="729"/>
    <cellStyle name="差_Book1_表4-4 " xfId="730"/>
    <cellStyle name="好_地方配套按人均增幅控制8.31（调整结案率后）xl_表8-2" xfId="731"/>
    <cellStyle name="差_Book1_表8-2" xfId="732"/>
    <cellStyle name="好_地方配套按人均增幅控制8.31（调整结案率后）xl_表8-3" xfId="733"/>
    <cellStyle name="差_Book1_表8-3" xfId="734"/>
    <cellStyle name="差_Book1_县公司" xfId="735"/>
    <cellStyle name="差_Book1_县公司_2016年1月13日人大报告表格定版 王丽君" xfId="736"/>
    <cellStyle name="差_Book1_县公司_表4-3" xfId="737"/>
    <cellStyle name="差_Book1_县公司_表4-4 " xfId="738"/>
    <cellStyle name="差_Book1_县公司_表8-2" xfId="739"/>
    <cellStyle name="差_Book1_银行账户情况表_2010年12月" xfId="740"/>
    <cellStyle name="差_Book1_银行账户情况表_2010年12月_2016年1月13日人大报告表格定版 王丽君" xfId="741"/>
    <cellStyle name="差_Book1_银行账户情况表_2010年12月_表4-3" xfId="742"/>
    <cellStyle name="差_Book1_银行账户情况表_2010年12月_表4-4 " xfId="743"/>
    <cellStyle name="差_Book1_银行账户情况表_2010年12月_表8-3" xfId="744"/>
    <cellStyle name="差_Book2_2016年1月13日人大报告表格定版 王丽君" xfId="745"/>
    <cellStyle name="差_Book2_表4-3" xfId="746"/>
    <cellStyle name="好_县公司_2016年1月13日人大报告表格定版 王丽君" xfId="747"/>
    <cellStyle name="差_Book2_表4-4 " xfId="748"/>
    <cellStyle name="常规_转换4001 2_表4-4 " xfId="749"/>
    <cellStyle name="差_Book2_表8-2" xfId="750"/>
    <cellStyle name="差_Book2_表8-3" xfId="751"/>
    <cellStyle name="差_M01-2(州市补助收入)" xfId="752"/>
    <cellStyle name="好_城建部门_表8-3" xfId="753"/>
    <cellStyle name="差_M01-2(州市补助收入)_2016年1月13日人大报告表格定版 王丽君" xfId="754"/>
    <cellStyle name="差_M01-2(州市补助收入)_表4-3" xfId="755"/>
    <cellStyle name="差_M01-2(州市补助收入)_表4-4 " xfId="756"/>
    <cellStyle name="常规 51" xfId="757"/>
    <cellStyle name="常规 46" xfId="758"/>
    <cellStyle name="差_M01-2(州市补助收入)_表8-2" xfId="759"/>
    <cellStyle name="常规 52" xfId="760"/>
    <cellStyle name="常规 47" xfId="761"/>
    <cellStyle name="差_M01-2(州市补助收入)_表8-3" xfId="762"/>
    <cellStyle name="差_M03" xfId="763"/>
    <cellStyle name="差_M03_2016年1月13日人大报告表格定版 王丽君" xfId="764"/>
    <cellStyle name="差_M03_表4-3" xfId="765"/>
    <cellStyle name="差_M03_表4-4 " xfId="766"/>
    <cellStyle name="差_M03_表8-2" xfId="767"/>
    <cellStyle name="差_表4-3" xfId="768"/>
    <cellStyle name="差_义务教育阶段教职工人数（教育厅提供最终）" xfId="769"/>
    <cellStyle name="差_表8-3" xfId="770"/>
    <cellStyle name="差_表8-3_2016年1月11日人大报告表格" xfId="771"/>
    <cellStyle name="差_义务教育阶段教职工人数（教育厅提供最终）_2016年1月13日人大报告表格定版 王丽君" xfId="772"/>
    <cellStyle name="差_表8-3_2016年1月13日人大报告表格定版 王丽君" xfId="773"/>
    <cellStyle name="差_表8-3_2016年各开发区收支预算草案（汇总）" xfId="774"/>
    <cellStyle name="差_表8-3_2016年南昌市市本级地方一般公共预算收入草案表" xfId="775"/>
    <cellStyle name="差_地方配套按人均增幅控制8.31（调整结案率后）xl_表4-4 " xfId="776"/>
    <cellStyle name="差_不用软件计算9.1不考虑经费管理评价xl" xfId="777"/>
    <cellStyle name="好_奖励补助测算7.23_表4-4 " xfId="778"/>
    <cellStyle name="差_不用软件计算9.1不考虑经费管理评价xl_2016年1月13日人大报告表格定版 王丽君" xfId="779"/>
    <cellStyle name="汇总_Book1" xfId="780"/>
    <cellStyle name="差_不用软件计算9.1不考虑经费管理评价xl_表4-3" xfId="781"/>
    <cellStyle name="差_不用软件计算9.1不考虑经费管理评价xl_表4-4 " xfId="782"/>
    <cellStyle name="差_不用软件计算9.1不考虑经费管理评价xl_表8-2" xfId="783"/>
    <cellStyle name="差_不用软件计算9.1不考虑经费管理评价xl_表8-3" xfId="784"/>
    <cellStyle name="差_上报格式（经开区收支余）_表8-3" xfId="785"/>
    <cellStyle name="差_财政供养人员" xfId="786"/>
    <cellStyle name="差_财政供养人员_表4-3" xfId="787"/>
    <cellStyle name="差_财政供养人员_表4-4 " xfId="788"/>
    <cellStyle name="差_财政供养人员_表8-2" xfId="789"/>
    <cellStyle name="差_财政供养人员_表8-3" xfId="790"/>
    <cellStyle name="好_奖励补助测算5.22测试_2016年1月13日人大报告表格定版 王丽君" xfId="791"/>
    <cellStyle name="常规 2 12" xfId="792"/>
    <cellStyle name="差_财政支出对上级的依赖程度" xfId="793"/>
    <cellStyle name="差_财政支出对上级的依赖程度_2016年1月13日人大报告表格定版 王丽君" xfId="794"/>
    <cellStyle name="差_财政支出对上级的依赖程度_表4-3" xfId="795"/>
    <cellStyle name="差_财政支出对上级的依赖程度_表4-4 " xfId="796"/>
    <cellStyle name="差_财政支出对上级的依赖程度_表8-2" xfId="797"/>
    <cellStyle name="差_财政支出对上级的依赖程度_表8-3" xfId="798"/>
    <cellStyle name="好_指标四_表4-4 " xfId="799"/>
    <cellStyle name="差_城建部门" xfId="800"/>
    <cellStyle name="好_~4190974" xfId="801"/>
    <cellStyle name="差_城建部门_2016年1月13日人大报告表格定版 王丽君" xfId="802"/>
    <cellStyle name="差_城建部门_表4-3" xfId="803"/>
    <cellStyle name="好_奖励补助测算5.24冯铸_表8-2" xfId="804"/>
    <cellStyle name="差_城建部门_表4-4 " xfId="805"/>
    <cellStyle name="差_城建部门_表8-2" xfId="806"/>
    <cellStyle name="差_城建部门_表8-3" xfId="807"/>
    <cellStyle name="差_地方配套按人均增幅控制8.30xl" xfId="808"/>
    <cellStyle name="差_地方配套按人均增幅控制8.30xl_2016年1月13日人大报告表格定版 王丽君" xfId="809"/>
    <cellStyle name="差_地方配套按人均增幅控制8.30xl_表4-3" xfId="810"/>
    <cellStyle name="差_地方配套按人均增幅控制8.30xl_表4-4 " xfId="811"/>
    <cellStyle name="差_卫生部门_表4-4 " xfId="812"/>
    <cellStyle name="差_地方配套按人均增幅控制8.30xl_表8-2" xfId="813"/>
    <cellStyle name="差_地方配套按人均增幅控制8.30xl_表8-3" xfId="814"/>
    <cellStyle name="差_下半年禁毒办案经费分配2544.3万元_表4-3" xfId="815"/>
    <cellStyle name="差_地方配套按人均增幅控制8.30一般预算平均增幅、人均可用财力平均增幅两次控制、社会治安系数调整、案件数调整xl" xfId="816"/>
    <cellStyle name="差_地方配套按人均增幅控制8.30一般预算平均增幅、人均可用财力平均增幅两次控制、社会治安系数调整、案件数调整xl_2016年1月13日人大报告表格定版 王丽君" xfId="817"/>
    <cellStyle name="差_地方配套按人均增幅控制8.30一般预算平均增幅、人均可用财力平均增幅两次控制、社会治安系数调整、案件数调整xl_表8-3" xfId="818"/>
    <cellStyle name="差_地方配套按人均增幅控制8.31（调整结案率后）xl" xfId="819"/>
    <cellStyle name="输入_1.13 2017年基金预算表-余超" xfId="820"/>
    <cellStyle name="差_地方配套按人均增幅控制8.31（调整结案率后）xl_2016年1月13日人大报告表格定版 王丽君" xfId="821"/>
    <cellStyle name="差_地方配套按人均增幅控制8.31（调整结案率后）xl_表4-3" xfId="822"/>
    <cellStyle name="差_地方配套按人均增幅控制8.31（调整结案率后）xl_表8-2" xfId="823"/>
    <cellStyle name="好_2009年一般性转移支付标准工资_地方配套按人均增幅控制8.30xl_表4-4 " xfId="824"/>
    <cellStyle name="差_地方配套按人均增幅控制8.31（调整结案率后）xl_表8-3" xfId="825"/>
    <cellStyle name="差_第五部分(才淼、饶永宏）" xfId="826"/>
    <cellStyle name="差_第五部分(才淼、饶永宏）_2016年1月13日人大报告表格定版 王丽君" xfId="827"/>
    <cellStyle name="差_第五部分(才淼、饶永宏）_表4-3" xfId="828"/>
    <cellStyle name="差_第五部分(才淼、饶永宏）_表4-4 " xfId="829"/>
    <cellStyle name="差_第五部分(才淼、饶永宏）_表8-2" xfId="830"/>
    <cellStyle name="差_第五部分(才淼、饶永宏）_表8-3" xfId="831"/>
    <cellStyle name="差_第一部分：综合全" xfId="832"/>
    <cellStyle name="差_第一部分：综合全_表4-3" xfId="833"/>
    <cellStyle name="好_云南省2008年中小学教职工情况（教育厅提供20090101加工整理）" xfId="834"/>
    <cellStyle name="差_第一部分：综合全_表4-4 " xfId="835"/>
    <cellStyle name="差_第一部分：综合全_表8-2" xfId="836"/>
    <cellStyle name="差_第一部分：综合全_表8-3" xfId="837"/>
    <cellStyle name="差_定稿-2016年1月14日下午印刷厂人大报告表格" xfId="838"/>
    <cellStyle name="差_附件1" xfId="839"/>
    <cellStyle name="差_高中教师人数（教育厅1.6日提供）" xfId="840"/>
    <cellStyle name="好_丽江汇总_表4-4 " xfId="841"/>
    <cellStyle name="差_高中教师人数（教育厅1.6日提供）_2016年1月13日人大报告表格定版 王丽君" xfId="842"/>
    <cellStyle name="差_高中教师人数（教育厅1.6日提供）_表4-3" xfId="843"/>
    <cellStyle name="好_2009年一般性转移支付标准工资_奖励补助测算7.23_表8-3" xfId="844"/>
    <cellStyle name="差_高中教师人数（教育厅1.6日提供）_表8-2" xfId="845"/>
    <cellStyle name="差_高中教师人数（教育厅1.6日提供）_表8-3" xfId="846"/>
    <cellStyle name="差_汇总" xfId="847"/>
    <cellStyle name="差_汇总_2016年1月13日人大报告表格定版 王丽君" xfId="848"/>
    <cellStyle name="差_汇总_表4-3" xfId="849"/>
    <cellStyle name="差_汇总_表4-4 " xfId="850"/>
    <cellStyle name="差_汇总_表8-2" xfId="851"/>
    <cellStyle name="好_0502通海县_表4-3" xfId="852"/>
    <cellStyle name="差_汇总_表8-3" xfId="853"/>
    <cellStyle name="差_汇总-县级财政报表附表" xfId="854"/>
    <cellStyle name="差_基础数据分析" xfId="855"/>
    <cellStyle name="差_基础数据分析_2016年1月13日人大报告表格定版 王丽君" xfId="856"/>
    <cellStyle name="差_基础数据分析_表4-3" xfId="857"/>
    <cellStyle name="差_基础数据分析_表4-4 " xfId="858"/>
    <cellStyle name="差_基础数据分析_表8-2" xfId="859"/>
    <cellStyle name="差_基础数据分析_表8-3" xfId="860"/>
    <cellStyle name="好_表8-3_2015年1月17日人大报告表格定版（县区填报）" xfId="861"/>
    <cellStyle name="差_检验表" xfId="862"/>
    <cellStyle name="好_奖励补助测算7.23_表8-2" xfId="863"/>
    <cellStyle name="差_检验表（调整后）" xfId="864"/>
    <cellStyle name="差_检验表（调整后）_2016年1月13日人大报告表格定版 王丽君" xfId="865"/>
    <cellStyle name="差_检验表（调整后）_表4-3" xfId="866"/>
    <cellStyle name="好_义务教育阶段教职工人数（教育厅提供最终）_表4-3" xfId="867"/>
    <cellStyle name="差_检验表（调整后）_表4-4 " xfId="868"/>
    <cellStyle name="差_指标四_表8-3" xfId="869"/>
    <cellStyle name="差_检验表（调整后）_表8-2" xfId="870"/>
    <cellStyle name="差_检验表（调整后）_表8-3" xfId="871"/>
    <cellStyle name="差_检验表_2016年1月13日人大报告表格定版 王丽君" xfId="872"/>
    <cellStyle name="差_指标四_表8-2" xfId="873"/>
    <cellStyle name="差_检验表_表4-3" xfId="874"/>
    <cellStyle name="差_检验表_表4-4 " xfId="875"/>
    <cellStyle name="差_检验表_表8-3" xfId="876"/>
    <cellStyle name="好_Book1_银行账户情况表_2010年12月_表8-2" xfId="877"/>
    <cellStyle name="差_建行" xfId="878"/>
    <cellStyle name="差_建行_表4-3" xfId="879"/>
    <cellStyle name="好_银行账户情况表_2010年12月_表4-3" xfId="880"/>
    <cellStyle name="好_高中教师人数（教育厅1.6日提供）_表4-3" xfId="881"/>
    <cellStyle name="好_~5676413_表4-3" xfId="882"/>
    <cellStyle name="差_建行_表8-2" xfId="883"/>
    <cellStyle name="差_建行_表8-3" xfId="884"/>
    <cellStyle name="差_奖励补助测算5.22测试" xfId="885"/>
    <cellStyle name="常规 33" xfId="886"/>
    <cellStyle name="常规 28" xfId="887"/>
    <cellStyle name="差_奖励补助测算5.22测试_2016年1月13日人大报告表格定版 王丽君" xfId="888"/>
    <cellStyle name="差_奖励补助测算5.22测试_表4-3" xfId="889"/>
    <cellStyle name="差_奖励补助测算5.22测试_表4-4 " xfId="890"/>
    <cellStyle name="差_奖励补助测算5.22测试_表8-2" xfId="891"/>
    <cellStyle name="差_奖励补助测算5.22测试_表8-3" xfId="892"/>
    <cellStyle name="日期" xfId="893"/>
    <cellStyle name="差_奖励补助测算5.23新" xfId="894"/>
    <cellStyle name="差_奖励补助测算5.23新_表4-4 " xfId="895"/>
    <cellStyle name="差_奖励补助测算5.23新_表8-2" xfId="896"/>
    <cellStyle name="好_2007年人员分部门统计表_表8-2" xfId="897"/>
    <cellStyle name="差_奖励补助测算5.23新_表8-3" xfId="898"/>
    <cellStyle name="差_奖励补助测算5.24冯铸" xfId="899"/>
    <cellStyle name="差_奖励补助测算5.24冯铸_2016年1月13日人大报告表格定版 王丽君" xfId="900"/>
    <cellStyle name="差_奖励补助测算5.24冯铸_表4-3" xfId="901"/>
    <cellStyle name="好_Book1" xfId="902"/>
    <cellStyle name="差_奖励补助测算5.24冯铸_表4-4 " xfId="903"/>
    <cellStyle name="差_奖励补助测算5.24冯铸_表8-2" xfId="904"/>
    <cellStyle name="差_奖励补助测算5.24冯铸_表8-3" xfId="905"/>
    <cellStyle name="差_奖励补助测算7.23" xfId="906"/>
    <cellStyle name="差_奖励补助测算7.23_2016年1月13日人大报告表格定版 王丽君" xfId="907"/>
    <cellStyle name="好_00省级(定稿)_2016年1月13日人大报告表格定版 王丽君" xfId="908"/>
    <cellStyle name="差_历年教师人数_表8-3" xfId="909"/>
    <cellStyle name="差_奖励补助测算7.23_表4-3" xfId="910"/>
    <cellStyle name="差_奖励补助测算7.23_表4-4 " xfId="911"/>
    <cellStyle name="差_奖励补助测算7.23_表8-2" xfId="912"/>
    <cellStyle name="差_奖励补助测算7.23_表8-3" xfId="913"/>
    <cellStyle name="差_奖励补助测算7.25" xfId="914"/>
    <cellStyle name="差_奖励补助测算7.25 (version 1) (version 1)_2016年1月13日人大报告表格定版 王丽君" xfId="915"/>
    <cellStyle name="差_奖励补助测算7.25 (version 1) (version 1)_表4-3" xfId="916"/>
    <cellStyle name="差_奖励补助测算7.25 (version 1) (version 1)_表4-4 " xfId="917"/>
    <cellStyle name="差_奖励补助测算7.25 (version 1) (version 1)_表8-2" xfId="918"/>
    <cellStyle name="差_奖励补助测算7.25 (version 1) (version 1)_表8-3" xfId="919"/>
    <cellStyle name="差_奖励补助测算7.25_2016年1月13日人大报告表格定版 王丽君" xfId="920"/>
    <cellStyle name="差_文体广播部门_表4-4 " xfId="921"/>
    <cellStyle name="差_奖励补助测算7.25_表4-3" xfId="922"/>
    <cellStyle name="差_奖励补助测算7.25_表4-4 " xfId="923"/>
    <cellStyle name="差_奖励补助测算7.25_表8-2" xfId="924"/>
    <cellStyle name="好_1110洱源县" xfId="925"/>
    <cellStyle name="差_奖励补助测算7.25_表8-3" xfId="926"/>
    <cellStyle name="好_不用软件计算9.1不考虑经费管理评价xl_表8-2" xfId="927"/>
    <cellStyle name="差_教育厅提供义务教育及高中教师人数（2009年1月6日）" xfId="928"/>
    <cellStyle name="好_00省级(定稿)" xfId="929"/>
    <cellStyle name="差_教育厅提供义务教育及高中教师人数（2009年1月6日）_表4-3" xfId="930"/>
    <cellStyle name="差_教育厅提供义务教育及高中教师人数（2009年1月6日）_表4-4 " xfId="931"/>
    <cellStyle name="差_教育厅提供义务教育及高中教师人数（2009年1月6日）_表8-2" xfId="932"/>
    <cellStyle name="差_教育厅提供义务教育及高中教师人数（2009年1月6日）_表8-3" xfId="933"/>
    <cellStyle name="差_历年教师人数" xfId="934"/>
    <cellStyle name="差_历年教师人数_2016年1月13日人大报告表格定版 王丽君" xfId="935"/>
    <cellStyle name="强调文字颜色 6 2" xfId="936"/>
    <cellStyle name="好_Book2" xfId="937"/>
    <cellStyle name="差_历年教师人数_表4-3" xfId="938"/>
    <cellStyle name="差_历年教师人数_表8-2" xfId="939"/>
    <cellStyle name="差_丽江汇总" xfId="940"/>
    <cellStyle name="差_丽江汇总_2016年1月13日人大报告表格定版 王丽君" xfId="941"/>
    <cellStyle name="差_丽江汇总_表4-3" xfId="942"/>
    <cellStyle name="差_丽江汇总_表4-4 " xfId="943"/>
    <cellStyle name="差_丽江汇总_表8-2" xfId="944"/>
    <cellStyle name="差_丽江汇总_表8-3" xfId="945"/>
    <cellStyle name="差_三季度－表二" xfId="946"/>
    <cellStyle name="差_三季度－表二_2016年1月13日人大报告表格定版 王丽君" xfId="947"/>
    <cellStyle name="差_三季度－表二_表4-3" xfId="948"/>
    <cellStyle name="差_三季度－表二_表4-4 " xfId="949"/>
    <cellStyle name="好_03昭通" xfId="950"/>
    <cellStyle name="差_三季度－表二_表8-2" xfId="951"/>
    <cellStyle name="差_三季度－表二_表8-3" xfId="952"/>
    <cellStyle name="差_上报格式（2016年市本级收支余）" xfId="953"/>
    <cellStyle name="差_上报格式（2016年市本级收支余）_表4-3" xfId="954"/>
    <cellStyle name="差_上报格式（2016年市本级收支余）_表4-4 " xfId="955"/>
    <cellStyle name="好_丽江汇总" xfId="956"/>
    <cellStyle name="差_上报格式（2016年市本级收支余）_表8-2" xfId="957"/>
    <cellStyle name="差_上报格式（2016年市本级收支余）_表8-3" xfId="958"/>
    <cellStyle name="差_上报格式（经开区收支余）" xfId="959"/>
    <cellStyle name="差_上报格式（经开区收支余）_2016年1月13日人大报告表格定版 王丽君" xfId="960"/>
    <cellStyle name="差_上报格式（经开区收支余）_表4-3" xfId="961"/>
    <cellStyle name="差_上报格式（经开区收支余）_表8-2" xfId="962"/>
    <cellStyle name="差_市残联2016年基金预算表" xfId="963"/>
    <cellStyle name="差_卫生部门" xfId="964"/>
    <cellStyle name="好_卫生部门" xfId="965"/>
    <cellStyle name="差_卫生部门_表4-3" xfId="966"/>
    <cellStyle name="差_卫生部门_表8-2" xfId="967"/>
    <cellStyle name="差_卫生部门_表8-3" xfId="968"/>
    <cellStyle name="差_文体广播部门" xfId="969"/>
    <cellStyle name="差_文体广播部门_2016年1月13日人大报告表格定版 王丽君" xfId="970"/>
    <cellStyle name="差_文体广播部门_表4-3" xfId="971"/>
    <cellStyle name="差_文体广播部门_表8-2" xfId="972"/>
    <cellStyle name="差_文体广播部门_表8-3" xfId="973"/>
    <cellStyle name="差_下半年禁毒办案经费分配2544.3万元" xfId="974"/>
    <cellStyle name="差_下半年禁毒办案经费分配2544.3万元_2016年1月13日人大报告表格定版 王丽君" xfId="975"/>
    <cellStyle name="差_下半年禁毒办案经费分配2544.3万元_表8-2" xfId="976"/>
    <cellStyle name="差_下半年禁毒办案经费分配2544.3万元_表8-3" xfId="977"/>
    <cellStyle name="差_下半年禁吸戒毒经费1000万元" xfId="978"/>
    <cellStyle name="差_下半年禁吸戒毒经费1000万元_2016年1月13日人大报告表格定版 王丽君" xfId="979"/>
    <cellStyle name="差_下半年禁吸戒毒经费1000万元_表4-3" xfId="980"/>
    <cellStyle name="差_下半年禁吸戒毒经费1000万元_表4-4 " xfId="981"/>
    <cellStyle name="差_下半年禁吸戒毒经费1000万元_表8-2" xfId="982"/>
    <cellStyle name="差_下半年禁吸戒毒经费1000万元_表8-3" xfId="983"/>
    <cellStyle name="差_县公司" xfId="984"/>
    <cellStyle name="差_县公司_2016年1月13日人大报告表格定版 王丽君" xfId="985"/>
    <cellStyle name="差_县公司_表4-3" xfId="986"/>
    <cellStyle name="差_县公司_表4-4 " xfId="987"/>
    <cellStyle name="差_县公司_表8-2" xfId="988"/>
    <cellStyle name="差_县公司_表8-3" xfId="989"/>
    <cellStyle name="差_县级公安机关公用经费标准奖励测算方案（定稿）" xfId="990"/>
    <cellStyle name="差_县级公安机关公用经费标准奖励测算方案（定稿）_2016年1月13日人大报告表格定版 王丽君" xfId="991"/>
    <cellStyle name="差_县级公安机关公用经费标准奖励测算方案（定稿）_表4-3" xfId="992"/>
    <cellStyle name="差_县级公安机关公用经费标准奖励测算方案（定稿）_表4-4 " xfId="993"/>
    <cellStyle name="差_县级公安机关公用经费标准奖励测算方案（定稿）_表8-2" xfId="994"/>
    <cellStyle name="差_县级公安机关公用经费标准奖励测算方案（定稿）_表8-3" xfId="995"/>
    <cellStyle name="差_县级基础数据" xfId="996"/>
    <cellStyle name="差_县级基础数据_2016年1月13日人大报告表格定版 王丽君" xfId="997"/>
    <cellStyle name="差_县级基础数据_表4-3" xfId="998"/>
    <cellStyle name="差_县级基础数据_表4-4 " xfId="999"/>
    <cellStyle name="差_县级基础数据_表8-2" xfId="1000"/>
    <cellStyle name="差_幸福隧道导洞围岩统计" xfId="1001"/>
    <cellStyle name="差_幸福隧道导洞围岩统计_2016年1月13日人大报告表格定版 王丽君" xfId="1002"/>
    <cellStyle name="差_幸福隧道导洞围岩统计_表4-3" xfId="1003"/>
    <cellStyle name="差_幸福隧道导洞围岩统计_表4-4 " xfId="1004"/>
    <cellStyle name="好_第一部分：综合全_表8-3" xfId="1005"/>
    <cellStyle name="差_幸福隧道导洞围岩统计_表8-2" xfId="1006"/>
    <cellStyle name="差_幸福隧道导洞围岩统计_表8-3" xfId="1007"/>
    <cellStyle name="差_业务工作量指标_2016年1月13日人大报告表格定版 王丽君" xfId="1008"/>
    <cellStyle name="差_业务工作量指标_表4-3" xfId="1009"/>
    <cellStyle name="差_云南农村义务教育统计表_表8-3" xfId="1010"/>
    <cellStyle name="差_业务工作量指标_表4-4 " xfId="1011"/>
    <cellStyle name="差_业务工作量指标_表8-2" xfId="1012"/>
    <cellStyle name="差_业务工作量指标_表8-3" xfId="1013"/>
    <cellStyle name="差_义务教育阶段教职工人数（教育厅提供最终）_表4-3" xfId="1014"/>
    <cellStyle name="差_义务教育阶段教职工人数（教育厅提供最终）_表4-4 " xfId="1015"/>
    <cellStyle name="差_义务教育阶段教职工人数（教育厅提供最终）_表8-2" xfId="1016"/>
    <cellStyle name="差_义务教育阶段教职工人数（教育厅提供最终）_表8-3" xfId="1017"/>
    <cellStyle name="差_银行账户情况表_2010年12月" xfId="1018"/>
    <cellStyle name="差_银行账户情况表_2010年12月_2016年1月13日人大报告表格定版 王丽君" xfId="1019"/>
    <cellStyle name="差_银行账户情况表_2010年12月_表4-3" xfId="1020"/>
    <cellStyle name="差_银行账户情况表_2010年12月_表4-4 " xfId="1021"/>
    <cellStyle name="差_银行账户情况表_2010年12月_表8-2" xfId="1022"/>
    <cellStyle name="差_云南农村义务教育统计表" xfId="1023"/>
    <cellStyle name="差_云南农村义务教育统计表_2016年1月13日人大报告表格定版 王丽君" xfId="1024"/>
    <cellStyle name="差_云南农村义务教育统计表_表4-3" xfId="1025"/>
    <cellStyle name="差_云南农村义务教育统计表_表4-4 " xfId="1026"/>
    <cellStyle name="差_云南农村义务教育统计表_表8-2" xfId="1027"/>
    <cellStyle name="差_云南省2008年中小学教师人数统计表" xfId="1028"/>
    <cellStyle name="差_云南省2008年中小学教师人数统计表_2016年1月13日人大报告表格定版 王丽君" xfId="1029"/>
    <cellStyle name="差_云南省2008年中小学教师人数统计表_表4-3" xfId="1030"/>
    <cellStyle name="差_云南省2008年中小学教师人数统计表_表4-4 " xfId="1031"/>
    <cellStyle name="差_云南省2008年中小学教师人数统计表_表8-2" xfId="1032"/>
    <cellStyle name="差_云南省2008年中小学教师人数统计表_表8-3" xfId="1033"/>
    <cellStyle name="差_云南省2008年中小学教职工情况（教育厅提供20090101加工整理）" xfId="1034"/>
    <cellStyle name="好_2009年一般性转移支付标准工资_地方配套按人均增幅控制8.31（调整结案率后）xl_表8-3" xfId="1035"/>
    <cellStyle name="差_云南省2008年中小学教职工情况（教育厅提供20090101加工整理）_表4-3" xfId="1036"/>
    <cellStyle name="好_2016年1月12日中午余超发来12.23（汇总）2016年基金预算表_表8-3" xfId="1037"/>
    <cellStyle name="差_云南省2008年中小学教职工情况（教育厅提供20090101加工整理）_表4-4 " xfId="1038"/>
    <cellStyle name="差_云南省2008年中小学教职工情况（教育厅提供20090101加工整理）_表8-2" xfId="1039"/>
    <cellStyle name="差_云南省2008年中小学教职工情况（教育厅提供20090101加工整理）_表8-3" xfId="1040"/>
    <cellStyle name="差_云南省2008年转移支付测算——州市本级考核部分及政策性测算" xfId="1041"/>
    <cellStyle name="差_云南省2008年转移支付测算——州市本级考核部分及政策性测算_2016年1月13日人大报告表格定版 王丽君" xfId="1042"/>
    <cellStyle name="差_云南省2008年转移支付测算——州市本级考核部分及政策性测算_表4-3" xfId="1043"/>
    <cellStyle name="差_云南省2008年转移支付测算——州市本级考核部分及政策性测算_表4-4 " xfId="1044"/>
    <cellStyle name="差_云南省2008年转移支付测算——州市本级考核部分及政策性测算_表8-3" xfId="1045"/>
    <cellStyle name="差_云南水利电力有限公司" xfId="1046"/>
    <cellStyle name="差_云南水利电力有限公司_2016年1月13日人大报告表格定版 王丽君" xfId="1047"/>
    <cellStyle name="差_云南水利电力有限公司_表4-3" xfId="1048"/>
    <cellStyle name="差_云南水利电力有限公司_表4-4 " xfId="1049"/>
    <cellStyle name="差_云南水利电力有限公司_表8-2" xfId="1050"/>
    <cellStyle name="差_云南水利电力有限公司_表8-3" xfId="1051"/>
    <cellStyle name="差_指标四" xfId="1052"/>
    <cellStyle name="差_指标四_2016年1月13日人大报告表格定版 王丽君" xfId="1053"/>
    <cellStyle name="差_指标四_表4-3" xfId="1054"/>
    <cellStyle name="好_奖励补助测算5.23新" xfId="1055"/>
    <cellStyle name="差_指标五" xfId="1056"/>
    <cellStyle name="好_奖励补助测算5.23新_2016年1月13日人大报告表格定版 王丽君" xfId="1057"/>
    <cellStyle name="差_指标五_2016年1月13日人大报告表格定版 王丽君" xfId="1058"/>
    <cellStyle name="好_奖励补助测算5.23新_表4-3" xfId="1059"/>
    <cellStyle name="差_指标五_表4-3" xfId="1060"/>
    <cellStyle name="好_奖励补助测算5.23新_表8-2" xfId="1061"/>
    <cellStyle name="差_指标五_表8-2" xfId="1062"/>
    <cellStyle name="好_奖励补助测算5.23新_表8-3" xfId="1063"/>
    <cellStyle name="差_指标五_表8-3" xfId="1064"/>
    <cellStyle name="常规 11" xfId="1065"/>
    <cellStyle name="常规 14" xfId="1066"/>
    <cellStyle name="常规 20" xfId="1067"/>
    <cellStyle name="常规 15" xfId="1068"/>
    <cellStyle name="好_2016年基金预算表格_表4-4 " xfId="1069"/>
    <cellStyle name="常规 21" xfId="1070"/>
    <cellStyle name="常规 16" xfId="1071"/>
    <cellStyle name="常规 22" xfId="1072"/>
    <cellStyle name="常规 17" xfId="1073"/>
    <cellStyle name="常规 23" xfId="1074"/>
    <cellStyle name="常规 18" xfId="1075"/>
    <cellStyle name="常规 24" xfId="1076"/>
    <cellStyle name="常规 19" xfId="1077"/>
    <cellStyle name="常规 2" xfId="1078"/>
    <cellStyle name="常规 2 10" xfId="1079"/>
    <cellStyle name="常规 2 10_2016年1月13日人大报告表格定版 王丽君" xfId="1080"/>
    <cellStyle name="常规 2 2" xfId="1081"/>
    <cellStyle name="常规 2 2 2" xfId="1082"/>
    <cellStyle name="常规 2 2_2016年1月13日人大报告表格定版 王丽君" xfId="1083"/>
    <cellStyle name="常规 2 3" xfId="1084"/>
    <cellStyle name="常规 2 4" xfId="1085"/>
    <cellStyle name="常规 2 5" xfId="1086"/>
    <cellStyle name="常规 2 6" xfId="1087"/>
    <cellStyle name="常规 2 7" xfId="1088"/>
    <cellStyle name="输入 2" xfId="1089"/>
    <cellStyle name="常规 2 8" xfId="1090"/>
    <cellStyle name="常规 2 9" xfId="1091"/>
    <cellStyle name="常规 2_02-2008决算报表格式" xfId="1092"/>
    <cellStyle name="常规 2_2016年各开发区收支预算草案（汇总）" xfId="1093"/>
    <cellStyle name="常规 2_表4-4 " xfId="1094"/>
    <cellStyle name="常规 30" xfId="1095"/>
    <cellStyle name="常规 25" xfId="1096"/>
    <cellStyle name="常规 31" xfId="1097"/>
    <cellStyle name="常规 26" xfId="1098"/>
    <cellStyle name="常规 32" xfId="1099"/>
    <cellStyle name="常规 27" xfId="1100"/>
    <cellStyle name="好_2007年检察院案件数_表4-3" xfId="1101"/>
    <cellStyle name="常规 34" xfId="1102"/>
    <cellStyle name="常规 29" xfId="1103"/>
    <cellStyle name="好_2006年在职人员情况_表4-3" xfId="1104"/>
    <cellStyle name="常规 3" xfId="1105"/>
    <cellStyle name="常规 40" xfId="1106"/>
    <cellStyle name="常规 35" xfId="1107"/>
    <cellStyle name="常规 41" xfId="1108"/>
    <cellStyle name="常规 36" xfId="1109"/>
    <cellStyle name="常规 42" xfId="1110"/>
    <cellStyle name="常规 37" xfId="1111"/>
    <cellStyle name="常规 43" xfId="1112"/>
    <cellStyle name="常规 38" xfId="1113"/>
    <cellStyle name="常规 4" xfId="1114"/>
    <cellStyle name="常规 53" xfId="1115"/>
    <cellStyle name="常规 48" xfId="1116"/>
    <cellStyle name="常规 49" xfId="1117"/>
    <cellStyle name="常规 5" xfId="1118"/>
    <cellStyle name="常规 55" xfId="1119"/>
    <cellStyle name="常规 56" xfId="1120"/>
    <cellStyle name="常规 6" xfId="1121"/>
    <cellStyle name="常规 7" xfId="1122"/>
    <cellStyle name="常规 8" xfId="1123"/>
    <cellStyle name="常规 9" xfId="1124"/>
    <cellStyle name="好_幸福隧道导洞围岩统计_表8-2" xfId="1125"/>
    <cellStyle name="好_地方配套按人均增幅控制8.30一般预算平均增幅、人均可用财力平均增幅两次控制、社会治安系数调整、案件数调整xl_表4-4 " xfId="1126"/>
    <cellStyle name="常规_（葛）报人大2008年南昌市财政收支预算草案" xfId="1127"/>
    <cellStyle name="常规_（葛）报人大2008年南昌市财政收支预算草案_表8-3" xfId="1128"/>
    <cellStyle name="常规_2017年1月24日-定表 2017年分析表-用于人大报告附表" xfId="1129"/>
    <cellStyle name="常规_表1 _2016年1月13日人大报告表格定版 王丽君" xfId="1130"/>
    <cellStyle name="好_云南农村义务教育统计表_表4-3" xfId="1131"/>
    <cellStyle name="常规_表2-4 _2016年1月13日人大报告表格定版 王丽君" xfId="1132"/>
    <cellStyle name="常规_表3 _2016年1月13日人大报告表格定版 王丽君" xfId="1133"/>
    <cellStyle name="常规_表5_2016年1月13日人大报告表格定版 王丽君" xfId="1134"/>
    <cellStyle name="常规_表6-1_2016年1月13日人大报告表格定版 王丽君" xfId="1135"/>
    <cellStyle name="常规_表6-2_2016年1月13日人大报告表格定版 王丽君" xfId="1136"/>
    <cellStyle name="常规_表6-3_2016年1月13日人大报告表格定版 王丽君" xfId="1137"/>
    <cellStyle name="常规_定稿-2016年1月14日下午印刷厂人大报告表格" xfId="1138"/>
    <cellStyle name="常规_附表4：2015年社保基金预算表" xfId="1139"/>
    <cellStyle name="常规_附表4：2015年社保基金预算表_2016年1月13日人大报告表格定版 王丽君" xfId="1140"/>
    <cellStyle name="常规_转换4001" xfId="1141"/>
    <cellStyle name="常规_转换4001 2_2016年各开发区收支预算草案（汇总）_表8-2" xfId="1142"/>
    <cellStyle name="常规_转换4001 2_表8-2" xfId="1143"/>
    <cellStyle name="好_历年教师人数_表4-3" xfId="1144"/>
    <cellStyle name="常规_转换4001 2_表8-2_表8-2" xfId="1145"/>
    <cellStyle name="常规_转换4001_2015王定版无链接1.3_2016年1月13日人大报告表格定版 王丽君" xfId="1146"/>
    <cellStyle name="常规_转换4001_2016年1月13日人大报告表格定版 王丽君" xfId="1147"/>
    <cellStyle name="常规_转换4001_表4-3" xfId="1148"/>
    <cellStyle name="超级链接" xfId="1149"/>
    <cellStyle name="分级显示行_1_13区汇总" xfId="1150"/>
    <cellStyle name="好 2" xfId="1151"/>
    <cellStyle name="好_~4190974_2016年1月13日人大报告表格定版 王丽君" xfId="1152"/>
    <cellStyle name="好_~4190974_表4-3" xfId="1153"/>
    <cellStyle name="好_~4190974_表4-4 " xfId="1154"/>
    <cellStyle name="好_~4190974_表8-2" xfId="1155"/>
    <cellStyle name="好_银行账户情况表_2010年12月" xfId="1156"/>
    <cellStyle name="好_高中教师人数（教育厅1.6日提供）" xfId="1157"/>
    <cellStyle name="好_~5676413" xfId="1158"/>
    <cellStyle name="好_银行账户情况表_2010年12月_2016年1月13日人大报告表格定版 王丽君" xfId="1159"/>
    <cellStyle name="好_高中教师人数（教育厅1.6日提供）_2016年1月13日人大报告表格定版 王丽君" xfId="1160"/>
    <cellStyle name="好_~5676413_2016年1月13日人大报告表格定版 王丽君" xfId="1161"/>
    <cellStyle name="好_银行账户情况表_2010年12月_表4-4 " xfId="1162"/>
    <cellStyle name="好_高中教师人数（教育厅1.6日提供）_表4-4 " xfId="1163"/>
    <cellStyle name="好_~5676413_表4-4 " xfId="1164"/>
    <cellStyle name="好_银行账户情况表_2010年12月_表8-2" xfId="1165"/>
    <cellStyle name="好_高中教师人数（教育厅1.6日提供）_表8-2" xfId="1166"/>
    <cellStyle name="好_~5676413_表8-2" xfId="1167"/>
    <cellStyle name="好_银行账户情况表_2010年12月_表8-3" xfId="1168"/>
    <cellStyle name="好_高中教师人数（教育厅1.6日提供）_表8-3" xfId="1169"/>
    <cellStyle name="好_~5676413_表8-3" xfId="1170"/>
    <cellStyle name="好_00省级(打印)_2016年1月13日人大报告表格定版 王丽君" xfId="1171"/>
    <cellStyle name="好_00省级(打印)_表4-3" xfId="1172"/>
    <cellStyle name="好_00省级(打印)_表4-4 " xfId="1173"/>
    <cellStyle name="好_00省级(打印)_表8-3" xfId="1174"/>
    <cellStyle name="好_00省级(定稿)_表4-3" xfId="1175"/>
    <cellStyle name="好_00省级(定稿)_表4-4 " xfId="1176"/>
    <cellStyle name="好_00省级(定稿)_表8-2" xfId="1177"/>
    <cellStyle name="好_00省级(定稿)_表8-3" xfId="1178"/>
    <cellStyle name="好_03昭通_2016年1月13日人大报告表格定版 王丽君" xfId="1179"/>
    <cellStyle name="好_03昭通_表4-3" xfId="1180"/>
    <cellStyle name="好_03昭通_表4-4 " xfId="1181"/>
    <cellStyle name="好_03昭通_表8-3" xfId="1182"/>
    <cellStyle name="好_0502通海县" xfId="1183"/>
    <cellStyle name="好_0502通海县_2016年1月13日人大报告表格定版 王丽君" xfId="1184"/>
    <cellStyle name="好_0502通海县_表4-4 " xfId="1185"/>
    <cellStyle name="好_0502通海县_表8-3" xfId="1186"/>
    <cellStyle name="好_地方配套按人均增幅控制8.30一般预算平均增幅、人均可用财力平均增幅两次控制、社会治安系数调整、案件数调整xl_表8-2" xfId="1187"/>
    <cellStyle name="好_05玉溪" xfId="1188"/>
    <cellStyle name="好_05玉溪_表4-3" xfId="1189"/>
    <cellStyle name="好_05玉溪_表4-4 " xfId="1190"/>
    <cellStyle name="好_05玉溪_表8-2" xfId="1191"/>
    <cellStyle name="好_05玉溪_表8-3" xfId="1192"/>
    <cellStyle name="好_0605石屏县_2016年1月13日人大报告表格定版 王丽君" xfId="1193"/>
    <cellStyle name="好_0605石屏县_表4-3" xfId="1194"/>
    <cellStyle name="好_0605石屏县_表4-4 " xfId="1195"/>
    <cellStyle name="好_0605石屏县_表8-2" xfId="1196"/>
    <cellStyle name="好_2009年一般性转移支付标准工资_~4190974_表8-2" xfId="1197"/>
    <cellStyle name="好_0605石屏县_表8-3" xfId="1198"/>
    <cellStyle name="好_1.13 2017年基金预算表-余超" xfId="1199"/>
    <cellStyle name="好_1110洱源县_2016年1月13日人大报告表格定版 王丽君" xfId="1200"/>
    <cellStyle name="好_1110洱源县_表4-3" xfId="1201"/>
    <cellStyle name="好_1110洱源县_表4-4 " xfId="1202"/>
    <cellStyle name="好_1110洱源县_表8-2" xfId="1203"/>
    <cellStyle name="好_1110洱源县_表8-3" xfId="1204"/>
    <cellStyle name="好_2、土地面积、人口、粮食产量基本情况_表8-2" xfId="1205"/>
    <cellStyle name="好_11大理" xfId="1206"/>
    <cellStyle name="好_11大理_2016年1月13日人大报告表格定版 王丽君" xfId="1207"/>
    <cellStyle name="好_11大理_表4-3" xfId="1208"/>
    <cellStyle name="好_11大理_表4-4 " xfId="1209"/>
    <cellStyle name="好_11大理_表8-3" xfId="1210"/>
    <cellStyle name="好_2、土地面积、人口、粮食产量基本情况" xfId="1211"/>
    <cellStyle name="好_2、土地面积、人口、粮食产量基本情况_2016年1月13日人大报告表格定版 王丽君" xfId="1212"/>
    <cellStyle name="好_2、土地面积、人口、粮食产量基本情况_表4-3" xfId="1213"/>
    <cellStyle name="好_2、土地面积、人口、粮食产量基本情况_表4-4 " xfId="1214"/>
    <cellStyle name="好_2、土地面积、人口、粮食产量基本情况_表8-3" xfId="1215"/>
    <cellStyle name="好_Book1_县公司_2016年1月13日人大报告表格定版 王丽君" xfId="1216"/>
    <cellStyle name="好_2006年分析表_2016年1月13日人大报告表格定版 王丽君" xfId="1217"/>
    <cellStyle name="好_Book1_县公司_表4-3" xfId="1218"/>
    <cellStyle name="好_2006年分析表_表4-3" xfId="1219"/>
    <cellStyle name="好_Book1_县公司_表4-4 " xfId="1220"/>
    <cellStyle name="好_2006年分析表_表4-4 " xfId="1221"/>
    <cellStyle name="好_Book1_县公司_表8-2" xfId="1222"/>
    <cellStyle name="好_2006年分析表_表8-2" xfId="1223"/>
    <cellStyle name="好_教育厅提供义务教育及高中教师人数（2009年1月6日）_2016年1月13日人大报告表格定版 王丽君" xfId="1224"/>
    <cellStyle name="好_Book1_县公司_表8-3" xfId="1225"/>
    <cellStyle name="好_2006年分析表_表8-3" xfId="1226"/>
    <cellStyle name="好_2006年基础数据" xfId="1227"/>
    <cellStyle name="好_2006年基础数据_2016年1月13日人大报告表格定版 王丽君" xfId="1228"/>
    <cellStyle name="好_地方配套按人均增幅控制8.30xl_2016年1月13日人大报告表格定版 王丽君" xfId="1229"/>
    <cellStyle name="好_2006年基础数据_表4-3" xfId="1230"/>
    <cellStyle name="好_2006年基础数据_表4-4 " xfId="1231"/>
    <cellStyle name="好_2006年基础数据_表8-2" xfId="1232"/>
    <cellStyle name="好_2006年基础数据_表8-3" xfId="1233"/>
    <cellStyle name="好_2006年全省财力计算表（中央、决算）" xfId="1234"/>
    <cellStyle name="好_2006年全省财力计算表（中央、决算）_表4-3" xfId="1235"/>
    <cellStyle name="好_2006年全省财力计算表（中央、决算）_表4-4 " xfId="1236"/>
    <cellStyle name="好_2006年全省财力计算表（中央、决算）_表8-2" xfId="1237"/>
    <cellStyle name="好_2006年全省财力计算表（中央、决算）_表8-3" xfId="1238"/>
    <cellStyle name="好_2006年水利统计指标统计表" xfId="1239"/>
    <cellStyle name="好_2006年水利统计指标统计表_表4-3" xfId="1240"/>
    <cellStyle name="好_2006年水利统计指标统计表_表4-4 " xfId="1241"/>
    <cellStyle name="好_2006年水利统计指标统计表_表8-2" xfId="1242"/>
    <cellStyle name="好_2006年水利统计指标统计表_表8-3" xfId="1243"/>
    <cellStyle name="好_2006年在职人员情况" xfId="1244"/>
    <cellStyle name="好_2006年在职人员情况_2016年1月13日人大报告表格定版 王丽君" xfId="1245"/>
    <cellStyle name="好_2006年在职人员情况_表4-4 " xfId="1246"/>
    <cellStyle name="好_2006年在职人员情况_表8-2" xfId="1247"/>
    <cellStyle name="好_2007年检察院案件数" xfId="1248"/>
    <cellStyle name="好_2007年检察院案件数_2016年1月13日人大报告表格定版 王丽君" xfId="1249"/>
    <cellStyle name="好_2007年检察院案件数_表4-4 " xfId="1250"/>
    <cellStyle name="好_2007年检察院案件数_表8-2" xfId="1251"/>
    <cellStyle name="好_2007年检察院案件数_表8-3" xfId="1252"/>
    <cellStyle name="好_2009年一般性转移支付标准工资_地方配套按人均增幅控制8.31（调整结案率后）xl_2016年1月13日人大报告表格定版 王丽君" xfId="1253"/>
    <cellStyle name="好_2007年可用财力" xfId="1254"/>
    <cellStyle name="好_2007年可用财力_2016年1月13日人大报告表格定版 王丽君" xfId="1255"/>
    <cellStyle name="好_2007年可用财力_表4-3" xfId="1256"/>
    <cellStyle name="好_2007年可用财力_表4-4 " xfId="1257"/>
    <cellStyle name="好_2007年可用财力_表8-2" xfId="1258"/>
    <cellStyle name="好_2007年可用财力_表8-3" xfId="1259"/>
    <cellStyle name="好_2007年人员分部门统计表" xfId="1260"/>
    <cellStyle name="好_指标五_表8-2" xfId="1261"/>
    <cellStyle name="好_2007年人员分部门统计表_2016年1月13日人大报告表格定版 王丽君" xfId="1262"/>
    <cellStyle name="好_2007年人员分部门统计表_表4-3" xfId="1263"/>
    <cellStyle name="好_2007年人员分部门统计表_表4-4 " xfId="1264"/>
    <cellStyle name="好_2007年人员分部门统计表_表8-3" xfId="1265"/>
    <cellStyle name="㼿㼿㼿㼿㼿㼿" xfId="1266"/>
    <cellStyle name="好_2007年政法部门业务指标" xfId="1267"/>
    <cellStyle name="好_2007年政法部门业务指标_2016年1月13日人大报告表格定版 王丽君" xfId="1268"/>
    <cellStyle name="好_2007年政法部门业务指标_表4-3" xfId="1269"/>
    <cellStyle name="好_2007年政法部门业务指标_表4-4 " xfId="1270"/>
    <cellStyle name="好_2007年政法部门业务指标_表8-3" xfId="1271"/>
    <cellStyle name="好_2008年县级公安保障标准落实奖励经费分配测算" xfId="1272"/>
    <cellStyle name="好_2008年县级公安保障标准落实奖励经费分配测算_2016年1月13日人大报告表格定版 王丽君" xfId="1273"/>
    <cellStyle name="好_2008年县级公安保障标准落实奖励经费分配测算_表4-3" xfId="1274"/>
    <cellStyle name="好_检验表_表8-2" xfId="1275"/>
    <cellStyle name="好_2008年县级公安保障标准落实奖励经费分配测算_表4-4 " xfId="1276"/>
    <cellStyle name="好_2008云南省分县市中小学教职工统计表（教育厅提供）" xfId="1277"/>
    <cellStyle name="好_2008云南省分县市中小学教职工统计表（教育厅提供）_2016年1月13日人大报告表格定版 王丽君" xfId="1278"/>
    <cellStyle name="好_2008云南省分县市中小学教职工统计表（教育厅提供）_表4-4 " xfId="1279"/>
    <cellStyle name="好_2008云南省分县市中小学教职工统计表（教育厅提供）_表8-2" xfId="1280"/>
    <cellStyle name="好_上报格式（经开区收支余）_2016年1月13日人大报告表格定版 王丽君" xfId="1281"/>
    <cellStyle name="好_2008云南省分县市中小学教职工统计表（教育厅提供）_表8-3" xfId="1282"/>
    <cellStyle name="好_2009年一般性转移支付标准工资_~4190974_2016年1月13日人大报告表格定版 王丽君" xfId="1283"/>
    <cellStyle name="好_2009年一般性转移支付标准工资_~4190974_表4-3" xfId="1284"/>
    <cellStyle name="好_2009年一般性转移支付标准工资_~4190974_表4-4 " xfId="1285"/>
    <cellStyle name="好_2009年一般性转移支付标准工资_~5676413" xfId="1286"/>
    <cellStyle name="好_教育厅提供义务教育及高中教师人数（2009年1月6日）" xfId="1287"/>
    <cellStyle name="好_2009年一般性转移支付标准工资_~5676413_2016年1月13日人大报告表格定版 王丽君" xfId="1288"/>
    <cellStyle name="好_2009年一般性转移支付标准工资_~5676413_表4-3" xfId="1289"/>
    <cellStyle name="好_2009年一般性转移支付标准工资_~5676413_表4-4 " xfId="1290"/>
    <cellStyle name="好_2009年一般性转移支付标准工资_~5676413_表8-2" xfId="1291"/>
    <cellStyle name="好_2009年一般性转移支付标准工资_表4-3" xfId="1292"/>
    <cellStyle name="好_2009年一般性转移支付标准工资_表8-2" xfId="1293"/>
    <cellStyle name="好_2009年一般性转移支付标准工资_表8-3" xfId="1294"/>
    <cellStyle name="好_2009年一般性转移支付标准工资_不用软件计算9.1不考虑经费管理评价xl_2016年1月13日人大报告表格定版 王丽君" xfId="1295"/>
    <cellStyle name="好_2009年一般性转移支付标准工资_不用软件计算9.1不考虑经费管理评价xl_表4-3" xfId="1296"/>
    <cellStyle name="好_2009年一般性转移支付标准工资_不用软件计算9.1不考虑经费管理评价xl_表8-2" xfId="1297"/>
    <cellStyle name="好_2009年一般性转移支付标准工资_不用软件计算9.1不考虑经费管理评价xl_表8-3" xfId="1298"/>
    <cellStyle name="好_2009年一般性转移支付标准工资_地方配套按人均增幅控制8.30xl" xfId="1299"/>
    <cellStyle name="好_2009年一般性转移支付标准工资_地方配套按人均增幅控制8.30xl_2016年1月13日人大报告表格定版 王丽君" xfId="1300"/>
    <cellStyle name="好_2009年一般性转移支付标准工资_地方配套按人均增幅控制8.30xl_表4-3" xfId="1301"/>
    <cellStyle name="好_2009年一般性转移支付标准工资_地方配套按人均增幅控制8.30xl_表8-2" xfId="1302"/>
    <cellStyle name="好_2009年一般性转移支付标准工资_地方配套按人均增幅控制8.30xl_表8-3" xfId="1303"/>
    <cellStyle name="好_2009年一般性转移支付标准工资_地方配套按人均增幅控制8.30一般预算平均增幅、人均可用财力平均增幅两次控制、社会治安系数调整、案件数调整xl" xfId="1304"/>
    <cellStyle name="好_2009年一般性转移支付标准工资_地方配套按人均增幅控制8.30一般预算平均增幅、人均可用财力平均增幅两次控制、社会治安系数调整、案件数调整xl_2016年1月13日人大报告表格定版 王丽君" xfId="1305"/>
    <cellStyle name="好_2009年一般性转移支付标准工资_地方配套按人均增幅控制8.30一般预算平均增幅、人均可用财力平均增幅两次控制、社会治安系数调整、案件数调整xl_表4-3" xfId="1306"/>
    <cellStyle name="好_云南水利电力有限公司_表4-3" xfId="1307"/>
    <cellStyle name="好_2009年一般性转移支付标准工资_地方配套按人均增幅控制8.30一般预算平均增幅、人均可用财力平均增幅两次控制、社会治安系数调整、案件数调整xl_表8-2" xfId="1308"/>
    <cellStyle name="好_2009年一般性转移支付标准工资_地方配套按人均增幅控制8.30一般预算平均增幅、人均可用财力平均增幅两次控制、社会治安系数调整、案件数调整xl_表8-3" xfId="1309"/>
    <cellStyle name="好_2009年一般性转移支付标准工资_地方配套按人均增幅控制8.31（调整结案率后）xl" xfId="1310"/>
    <cellStyle name="好_2009年一般性转移支付标准工资_地方配套按人均增幅控制8.31（调整结案率后）xl_表4-4 " xfId="1311"/>
    <cellStyle name="好_2009年一般性转移支付标准工资_地方配套按人均增幅控制8.31（调整结案率后）xl_表8-2" xfId="1312"/>
    <cellStyle name="好_2009年一般性转移支付标准工资_奖励补助测算5.22测试" xfId="1313"/>
    <cellStyle name="好_2009年一般性转移支付标准工资_奖励补助测算5.22测试_2016年1月13日人大报告表格定版 王丽君" xfId="1314"/>
    <cellStyle name="好_2009年一般性转移支付标准工资_奖励补助测算5.22测试_表4-3" xfId="1315"/>
    <cellStyle name="好_2009年一般性转移支付标准工资_奖励补助测算5.22测试_表8-3" xfId="1316"/>
    <cellStyle name="好_检验表_表4-4 " xfId="1317"/>
    <cellStyle name="好_2009年一般性转移支付标准工资_奖励补助测算5.23新" xfId="1318"/>
    <cellStyle name="好_2009年一般性转移支付标准工资_奖励补助测算5.23新_2016年1月13日人大报告表格定版 王丽君" xfId="1319"/>
    <cellStyle name="好_2009年一般性转移支付标准工资_奖励补助测算5.23新_表4-3" xfId="1320"/>
    <cellStyle name="好_2009年一般性转移支付标准工资_奖励补助测算5.23新_表4-4 " xfId="1321"/>
    <cellStyle name="好_2009年一般性转移支付标准工资_奖励补助测算5.23新_表8-3" xfId="1322"/>
    <cellStyle name="好_2009年一般性转移支付标准工资_奖励补助测算5.24冯铸" xfId="1323"/>
    <cellStyle name="好_2009年一般性转移支付标准工资_奖励补助测算5.24冯铸_2016年1月13日人大报告表格定版 王丽君" xfId="1324"/>
    <cellStyle name="好_2009年一般性转移支付标准工资_奖励补助测算5.24冯铸_表4-3" xfId="1325"/>
    <cellStyle name="好_2009年一般性转移支付标准工资_奖励补助测算5.24冯铸_表4-4 " xfId="1326"/>
    <cellStyle name="好_2009年一般性转移支付标准工资_奖励补助测算5.24冯铸_表8-2" xfId="1327"/>
    <cellStyle name="好_2009年一般性转移支付标准工资_奖励补助测算7.23" xfId="1328"/>
    <cellStyle name="好_2009年一般性转移支付标准工资_奖励补助测算7.23_2016年1月13日人大报告表格定版 王丽君" xfId="1329"/>
    <cellStyle name="好_2009年一般性转移支付标准工资_奖励补助测算7.23_表4-3" xfId="1330"/>
    <cellStyle name="好_2009年一般性转移支付标准工资_奖励补助测算7.23_表4-4 " xfId="1331"/>
    <cellStyle name="好_2009年一般性转移支付标准工资_奖励补助测算7.25" xfId="1332"/>
    <cellStyle name="好_2009年一般性转移支付标准工资_奖励补助测算7.25 (version 1) (version 1)" xfId="1333"/>
    <cellStyle name="好_Book1_1_表4-3" xfId="1334"/>
    <cellStyle name="好_2009年一般性转移支付标准工资_奖励补助测算7.25 (version 1) (version 1)_2016年1月13日人大报告表格定版 王丽君" xfId="1335"/>
    <cellStyle name="好_2009年一般性转移支付标准工资_奖励补助测算7.25 (version 1) (version 1)_表4-3" xfId="1336"/>
    <cellStyle name="好_2009年一般性转移支付标准工资_奖励补助测算7.25 (version 1) (version 1)_表4-4 " xfId="1337"/>
    <cellStyle name="好_2009年一般性转移支付标准工资_奖励补助测算7.25 (version 1) (version 1)_表8-2" xfId="1338"/>
    <cellStyle name="好_2009年一般性转移支付标准工资_奖励补助测算7.25 (version 1) (version 1)_表8-3" xfId="1339"/>
    <cellStyle name="好_2009年一般性转移支付标准工资_奖励补助测算7.25_2016年1月13日人大报告表格定版 王丽君" xfId="1340"/>
    <cellStyle name="好_2009年一般性转移支付标准工资_奖励补助测算7.25_表4-3" xfId="1341"/>
    <cellStyle name="好_2009年一般性转移支付标准工资_奖励补助测算7.25_表4-4 " xfId="1342"/>
    <cellStyle name="好_2009年一般性转移支付标准工资_奖励补助测算7.25_表8-2" xfId="1343"/>
    <cellStyle name="好_2016年1月12日中午余超发来12.23（汇总）2016年基金预算表" xfId="1344"/>
    <cellStyle name="好_云南农村义务教育统计表_表4-4 " xfId="1345"/>
    <cellStyle name="好_2016年1月12日中午余超发来12.23（汇总）2016年基金预算表_表4-3" xfId="1346"/>
    <cellStyle name="好_2016年1月12日中午余超发来12.23（汇总）2016年基金预算表_表4-4 " xfId="1347"/>
    <cellStyle name="好_2016年1月12日中午余超发来12.23（汇总）2016年基金预算表_表8-2" xfId="1348"/>
    <cellStyle name="好_2016年基金预算表格" xfId="1349"/>
    <cellStyle name="好_2016年基金预算表格_表4-3" xfId="1350"/>
    <cellStyle name="好_2016年基金预算表格_表8-2" xfId="1351"/>
    <cellStyle name="好_2016年基金预算表格_表8-3" xfId="1352"/>
    <cellStyle name="好_530623_2006年县级财政报表附表" xfId="1353"/>
    <cellStyle name="好_业务工作量指标_2016年1月13日人大报告表格定版 王丽君" xfId="1354"/>
    <cellStyle name="好_530629_2006年县级财政报表附表" xfId="1355"/>
    <cellStyle name="好_530629_2006年县级财政报表附表_2016年1月13日人大报告表格定版 王丽君" xfId="1356"/>
    <cellStyle name="好_530629_2006年县级财政报表附表_表4-3" xfId="1357"/>
    <cellStyle name="好_530629_2006年县级财政报表附表_表4-4 " xfId="1358"/>
    <cellStyle name="好_530629_2006年县级财政报表附表_表8-2" xfId="1359"/>
    <cellStyle name="好_5334_2006年迪庆县级财政报表附表" xfId="1360"/>
    <cellStyle name="好_5334_2006年迪庆县级财政报表附表_2016年1月13日人大报告表格定版 王丽君" xfId="1361"/>
    <cellStyle name="好_5334_2006年迪庆县级财政报表附表_表4-3" xfId="1362"/>
    <cellStyle name="好_5334_2006年迪庆县级财政报表附表_表4-4 " xfId="1363"/>
    <cellStyle name="好_5334_2006年迪庆县级财政报表附表_表8-2" xfId="1364"/>
    <cellStyle name="好_5334_2006年迪庆县级财政报表附表_表8-3" xfId="1365"/>
    <cellStyle name="好_Book1_1" xfId="1366"/>
    <cellStyle name="好_Book1_1_2016年1月13日人大报告表格定版 王丽君" xfId="1367"/>
    <cellStyle name="好_Book1_1_表4-4 " xfId="1368"/>
    <cellStyle name="好_Book1_1_表8-2" xfId="1369"/>
    <cellStyle name="好_Book1_1_表8-3" xfId="1370"/>
    <cellStyle name="好_Book1_2016年1月13日人大报告表格定版 王丽君" xfId="1371"/>
    <cellStyle name="好_Book1_表4-3" xfId="1372"/>
    <cellStyle name="好_Book1_表4-4 " xfId="1373"/>
    <cellStyle name="好_Book1_表8-3" xfId="1374"/>
    <cellStyle name="好_Book1_银行账户情况表_2010年12月" xfId="1375"/>
    <cellStyle name="好_Book1_银行账户情况表_2010年12月_2016年1月13日人大报告表格定版 王丽君" xfId="1376"/>
    <cellStyle name="好_Book1_银行账户情况表_2010年12月_表4-3" xfId="1377"/>
    <cellStyle name="好_Book2_2016年1月13日人大报告表格定版 王丽君" xfId="1378"/>
    <cellStyle name="好_Book2_表4-3" xfId="1379"/>
    <cellStyle name="好_Book2_表4-4 " xfId="1380"/>
    <cellStyle name="好_Book2_表8-2" xfId="1381"/>
    <cellStyle name="㼿㼿㼿㼿㼿㼿㼿㼿㼿㼿㼿?" xfId="1382"/>
    <cellStyle name="好_Book2_表8-3" xfId="1383"/>
    <cellStyle name="好_M01-2(州市补助收入)" xfId="1384"/>
    <cellStyle name="好_M01-2(州市补助收入)_2016年1月13日人大报告表格定版 王丽君" xfId="1385"/>
    <cellStyle name="好_M01-2(州市补助收入)_表4-3" xfId="1386"/>
    <cellStyle name="好_M01-2(州市补助收入)_表4-4 " xfId="1387"/>
    <cellStyle name="好_M01-2(州市补助收入)_表8-3" xfId="1388"/>
    <cellStyle name="好_M03" xfId="1389"/>
    <cellStyle name="好_M03_2016年1月13日人大报告表格定版 王丽君" xfId="1390"/>
    <cellStyle name="好_M03_表4-4 " xfId="1391"/>
    <cellStyle name="好_M03_表8-2" xfId="1392"/>
    <cellStyle name="好_M03_表8-3" xfId="1393"/>
    <cellStyle name="好_表4-3" xfId="1394"/>
    <cellStyle name="好_表8-3" xfId="1395"/>
    <cellStyle name="好_表8-3_2015年1月17日人大报告表格定版" xfId="1396"/>
    <cellStyle name="好_表8-3_2016年1月11日人大报告表格" xfId="1397"/>
    <cellStyle name="好_表8-3_2016年1月11日人大报告表格 1" xfId="1398"/>
    <cellStyle name="好_表8-3_2016年1月13日人大报告表格定版 王丽君" xfId="1399"/>
    <cellStyle name="好_表8-3_2016年各开发区收支预算草案（汇总）" xfId="1400"/>
    <cellStyle name="好_表8-3_2016年南昌市市本级地方一般公共预算收入草案表" xfId="1401"/>
    <cellStyle name="好_不用软件计算9.1不考虑经费管理评价xl" xfId="1402"/>
    <cellStyle name="好_不用软件计算9.1不考虑经费管理评价xl_2016年1月13日人大报告表格定版 王丽君" xfId="1403"/>
    <cellStyle name="好_不用软件计算9.1不考虑经费管理评价xl_表4-3" xfId="1404"/>
    <cellStyle name="好_不用软件计算9.1不考虑经费管理评价xl_表4-4 " xfId="1405"/>
    <cellStyle name="好_不用软件计算9.1不考虑经费管理评价xl_表8-3" xfId="1406"/>
    <cellStyle name="好_财政供养人员" xfId="1407"/>
    <cellStyle name="好_财政供养人员_2016年1月13日人大报告表格定版 王丽君" xfId="1408"/>
    <cellStyle name="好_财政供养人员_表4-3" xfId="1409"/>
    <cellStyle name="好_财政供养人员_表4-4 " xfId="1410"/>
    <cellStyle name="好_财政供养人员_表8-2" xfId="1411"/>
    <cellStyle name="好_财政供养人员_表8-3" xfId="1412"/>
    <cellStyle name="好_财政支出对上级的依赖程度" xfId="1413"/>
    <cellStyle name="好_财政支出对上级的依赖程度_2016年1月13日人大报告表格定版 王丽君" xfId="1414"/>
    <cellStyle name="好_财政支出对上级的依赖程度_表4-3" xfId="1415"/>
    <cellStyle name="好_奖励补助测算7.23_表4-3" xfId="1416"/>
    <cellStyle name="好_财政支出对上级的依赖程度_表4-4 " xfId="1417"/>
    <cellStyle name="好_财政支出对上级的依赖程度_表8-2" xfId="1418"/>
    <cellStyle name="好_财政支出对上级的依赖程度_表8-3" xfId="1419"/>
    <cellStyle name="好_城建部门" xfId="1420"/>
    <cellStyle name="好_城建部门_表4-3" xfId="1421"/>
    <cellStyle name="好_城建部门_表4-4 " xfId="1422"/>
    <cellStyle name="好_城建部门_表8-2" xfId="1423"/>
    <cellStyle name="好_地方配套按人均增幅控制8.30xl" xfId="1424"/>
    <cellStyle name="好_地方配套按人均增幅控制8.30xl_表4-4 " xfId="1425"/>
    <cellStyle name="好_地方配套按人均增幅控制8.30xl_表8-2" xfId="1426"/>
    <cellStyle name="好_地方配套按人均增幅控制8.30一般预算平均增幅、人均可用财力平均增幅两次控制、社会治安系数调整、案件数调整xl_2016年1月13日人大报告表格定版 王丽君" xfId="1427"/>
    <cellStyle name="好_地方配套按人均增幅控制8.30一般预算平均增幅、人均可用财力平均增幅两次控制、社会治安系数调整、案件数调整xl_表4-3" xfId="1428"/>
    <cellStyle name="好_地方配套按人均增幅控制8.30一般预算平均增幅、人均可用财力平均增幅两次控制、社会治安系数调整、案件数调整xl_表8-3" xfId="1429"/>
    <cellStyle name="好_第五部分(才淼、饶永宏）" xfId="1430"/>
    <cellStyle name="好_第五部分(才淼、饶永宏）_2016年1月13日人大报告表格定版 王丽君" xfId="1431"/>
    <cellStyle name="好_第五部分(才淼、饶永宏）_表4-3" xfId="1432"/>
    <cellStyle name="好_第五部分(才淼、饶永宏）_表4-4 " xfId="1433"/>
    <cellStyle name="好_第五部分(才淼、饶永宏）_表8-2" xfId="1434"/>
    <cellStyle name="好_县级公安机关公用经费标准奖励测算方案（定稿）_表4-4 " xfId="1435"/>
    <cellStyle name="好_第五部分(才淼、饶永宏）_表8-3" xfId="1436"/>
    <cellStyle name="好_第一部分：综合全_2016年1月13日人大报告表格定版 王丽君" xfId="1437"/>
    <cellStyle name="好_第一部分：综合全_表4-3" xfId="1438"/>
    <cellStyle name="好_第一部分：综合全_表8-2" xfId="1439"/>
    <cellStyle name="好_附件1" xfId="1440"/>
    <cellStyle name="好_汇总_2016年1月13日人大报告表格定版 王丽君" xfId="1441"/>
    <cellStyle name="好_汇总_表4-3" xfId="1442"/>
    <cellStyle name="好_汇总_表4-4 " xfId="1443"/>
    <cellStyle name="好_汇总_表8-2" xfId="1444"/>
    <cellStyle name="好_汇总_表8-3" xfId="1445"/>
    <cellStyle name="好_汇总-县级财政报表附表" xfId="1446"/>
    <cellStyle name="好_基础数据分析" xfId="1447"/>
    <cellStyle name="好_基础数据分析_2016年1月13日人大报告表格定版 王丽君" xfId="1448"/>
    <cellStyle name="好_基础数据分析_表4-3" xfId="1449"/>
    <cellStyle name="好_基础数据分析_表4-4 " xfId="1450"/>
    <cellStyle name="好_基础数据分析_表8-2" xfId="1451"/>
    <cellStyle name="好_基础数据分析_表8-3" xfId="1452"/>
    <cellStyle name="好_检验表（调整后）" xfId="1453"/>
    <cellStyle name="好_检验表（调整后）_2016年1月13日人大报告表格定版 王丽君" xfId="1454"/>
    <cellStyle name="好_检验表（调整后）_表4-3" xfId="1455"/>
    <cellStyle name="好_检验表（调整后）_表8-3" xfId="1456"/>
    <cellStyle name="好_指标四_表8-2" xfId="1457"/>
    <cellStyle name="好_检验表_表4-3" xfId="1458"/>
    <cellStyle name="好_检验表_表8-3" xfId="1459"/>
    <cellStyle name="好_建行" xfId="1460"/>
    <cellStyle name="好_建行_2016年1月13日人大报告表格定版 王丽君" xfId="1461"/>
    <cellStyle name="好_建行_表4-3" xfId="1462"/>
    <cellStyle name="好_建行_表4-4 " xfId="1463"/>
    <cellStyle name="好_奖励补助测算5.22测试" xfId="1464"/>
    <cellStyle name="好_奖励补助测算5.22测试_表4-3" xfId="1465"/>
    <cellStyle name="好_奖励补助测算5.24冯铸" xfId="1466"/>
    <cellStyle name="好_奖励补助测算5.24冯铸_2016年1月13日人大报告表格定版 王丽君" xfId="1467"/>
    <cellStyle name="好_奖励补助测算5.24冯铸_表4-4 " xfId="1468"/>
    <cellStyle name="好_奖励补助测算5.24冯铸_表8-3" xfId="1469"/>
    <cellStyle name="好_奖励补助测算7.23" xfId="1470"/>
    <cellStyle name="好_奖励补助测算7.23_2016年1月13日人大报告表格定版 王丽君" xfId="1471"/>
    <cellStyle name="好_奖励补助测算7.23_表8-3" xfId="1472"/>
    <cellStyle name="好_奖励补助测算7.25" xfId="1473"/>
    <cellStyle name="好_奖励补助测算7.25 (version 1) (version 1)" xfId="1474"/>
    <cellStyle name="好_奖励补助测算7.25 (version 1) (version 1)_表4-3" xfId="1475"/>
    <cellStyle name="好_奖励补助测算7.25 (version 1) (version 1)_表4-4 " xfId="1476"/>
    <cellStyle name="好_奖励补助测算7.25 (version 1) (version 1)_表8-2" xfId="1477"/>
    <cellStyle name="好_奖励补助测算7.25 (version 1) (version 1)_表8-3" xfId="1478"/>
    <cellStyle name="好_奖励补助测算7.25_2016年1月13日人大报告表格定版 王丽君" xfId="1479"/>
    <cellStyle name="好_奖励补助测算7.25_表4-4 " xfId="1480"/>
    <cellStyle name="好_奖励补助测算7.25_表8-2" xfId="1481"/>
    <cellStyle name="好_奖励补助测算7.25_表8-3" xfId="1482"/>
    <cellStyle name="好_教师绩效工资测算表（离退休按各地上报数测算）2009年1月1日" xfId="1483"/>
    <cellStyle name="好_教师绩效工资测算表（离退休按各地上报数测算）2009年1月1日_2016年1月13日人大报告表格定版 王丽君" xfId="1484"/>
    <cellStyle name="好_教师绩效工资测算表（离退休按各地上报数测算）2009年1月1日_表4-3" xfId="1485"/>
    <cellStyle name="好_教师绩效工资测算表（离退休按各地上报数测算）2009年1月1日_表4-4 " xfId="1486"/>
    <cellStyle name="好_教师绩效工资测算表（离退休按各地上报数测算）2009年1月1日_表8-2" xfId="1487"/>
    <cellStyle name="好_教育厅提供义务教育及高中教师人数（2009年1月6日）_表4-4 " xfId="1488"/>
    <cellStyle name="好_教育厅提供义务教育及高中教师人数（2009年1月6日）_表8-2" xfId="1489"/>
    <cellStyle name="好_教育厅提供义务教育及高中教师人数（2009年1月6日）_表8-3" xfId="1490"/>
    <cellStyle name="好_历年教师人数_2016年1月13日人大报告表格定版 王丽君" xfId="1491"/>
    <cellStyle name="好_历年教师人数_表4-4 " xfId="1492"/>
    <cellStyle name="好_历年教师人数_表8-2" xfId="1493"/>
    <cellStyle name="好_历年教师人数_表8-3" xfId="1494"/>
    <cellStyle name="好_丽江汇总_表4-3" xfId="1495"/>
    <cellStyle name="好_丽江汇总_表8-3" xfId="1496"/>
    <cellStyle name="好_三季度－表二" xfId="1497"/>
    <cellStyle name="好_三季度－表二_2016年1月13日人大报告表格定版 王丽君" xfId="1498"/>
    <cellStyle name="好_三季度－表二_表4-3" xfId="1499"/>
    <cellStyle name="好_三季度－表二_表4-4 " xfId="1500"/>
    <cellStyle name="好_三季度－表二_表8-2" xfId="1501"/>
    <cellStyle name="好_三季度－表二_表8-3" xfId="1502"/>
    <cellStyle name="好_上报格式（2016年市本级收支余）" xfId="1503"/>
    <cellStyle name="好_上报格式（2016年市本级收支余）_2016年1月13日人大报告表格定版 王丽君" xfId="1504"/>
    <cellStyle name="好_上报格式（2016年市本级收支余）_表4-3" xfId="1505"/>
    <cellStyle name="好_上报格式（2016年市本级收支余）_表8-2" xfId="1506"/>
    <cellStyle name="好_上报格式（2016年市本级收支余）_表8-3" xfId="1507"/>
    <cellStyle name="好_上报格式（经开区收支余）_表4-3" xfId="1508"/>
    <cellStyle name="好_上报格式（经开区收支余）_表4-4 " xfId="1509"/>
    <cellStyle name="好_上报格式（经开区收支余）_表8-2" xfId="1510"/>
    <cellStyle name="好_上报格式（经开区收支余）_表8-3" xfId="1511"/>
    <cellStyle name="好_市残联2016年基金预算表" xfId="1512"/>
    <cellStyle name="好_卫生部门_2016年1月13日人大报告表格定版 王丽君" xfId="1513"/>
    <cellStyle name="好_卫生部门_表4-3" xfId="1514"/>
    <cellStyle name="好_卫生部门_表4-4 " xfId="1515"/>
    <cellStyle name="好_卫生部门_表8-2" xfId="1516"/>
    <cellStyle name="好_卫生部门_表8-3" xfId="1517"/>
    <cellStyle name="好_文体广播部门" xfId="1518"/>
    <cellStyle name="好_文体广播部门_2016年1月13日人大报告表格定版 王丽君" xfId="1519"/>
    <cellStyle name="好_文体广播部门_表4-3" xfId="1520"/>
    <cellStyle name="好_文体广播部门_表4-4 " xfId="1521"/>
    <cellStyle name="好_下半年禁毒办案经费分配2544.3万元_2016年1月13日人大报告表格定版 王丽君" xfId="1522"/>
    <cellStyle name="好_下半年禁毒办案经费分配2544.3万元_表4-3" xfId="1523"/>
    <cellStyle name="好_下半年禁毒办案经费分配2544.3万元_表4-4 " xfId="1524"/>
    <cellStyle name="好_下半年禁毒办案经费分配2544.3万元_表8-2" xfId="1525"/>
    <cellStyle name="强调文字颜色 3 2" xfId="1526"/>
    <cellStyle name="好_下半年禁毒办案经费分配2544.3万元_表8-3" xfId="1527"/>
    <cellStyle name="好_下半年禁吸戒毒经费1000万元" xfId="1528"/>
    <cellStyle name="好_下半年禁吸戒毒经费1000万元_2016年1月13日人大报告表格定版 王丽君" xfId="1529"/>
    <cellStyle name="好_下半年禁吸戒毒经费1000万元_表4-3" xfId="1530"/>
    <cellStyle name="好_下半年禁吸戒毒经费1000万元_表4-4 " xfId="1531"/>
    <cellStyle name="好_下半年禁吸戒毒经费1000万元_表8-2" xfId="1532"/>
    <cellStyle name="好_下半年禁吸戒毒经费1000万元_表8-3" xfId="1533"/>
    <cellStyle name="好_县公司" xfId="1534"/>
    <cellStyle name="好_县公司_表4-3" xfId="1535"/>
    <cellStyle name="好_县公司_表4-4 " xfId="1536"/>
    <cellStyle name="钎霖_4岿角利" xfId="1537"/>
    <cellStyle name="好_县公司_表8-2" xfId="1538"/>
    <cellStyle name="好_县公司_表8-3" xfId="1539"/>
    <cellStyle name="好_县级公安机关公用经费标准奖励测算方案（定稿）_2016年1月13日人大报告表格定版 王丽君" xfId="1540"/>
    <cellStyle name="好_县级公安机关公用经费标准奖励测算方案（定稿）_表4-3" xfId="1541"/>
    <cellStyle name="好_县级公安机关公用经费标准奖励测算方案（定稿）_表8-2" xfId="1542"/>
    <cellStyle name="好_县级公安机关公用经费标准奖励测算方案（定稿）_表8-3" xfId="1543"/>
    <cellStyle name="好_县级基础数据" xfId="1544"/>
    <cellStyle name="好_县级基础数据_2016年1月13日人大报告表格定版 王丽君" xfId="1545"/>
    <cellStyle name="好_县级基础数据_表4-3" xfId="1546"/>
    <cellStyle name="好_县级基础数据_表4-4 " xfId="1547"/>
    <cellStyle name="好_县级基础数据_表8-3" xfId="1548"/>
    <cellStyle name="好_幸福隧道导洞围岩统计" xfId="1549"/>
    <cellStyle name="好_幸福隧道导洞围岩统计_2016年1月13日人大报告表格定版 王丽君" xfId="1550"/>
    <cellStyle name="好_幸福隧道导洞围岩统计_表4-4 " xfId="1551"/>
    <cellStyle name="好_云南省2008年中小学教师人数统计表_2016年1月13日人大报告表格定版 王丽君" xfId="1552"/>
    <cellStyle name="好_幸福隧道导洞围岩统计_表8-3" xfId="1553"/>
    <cellStyle name="好_业务工作量指标_表4-3" xfId="1554"/>
    <cellStyle name="好_业务工作量指标_表4-4 " xfId="1555"/>
    <cellStyle name="强调文字颜色 1_1.13 2017年基金预算表-余超" xfId="1556"/>
    <cellStyle name="好_业务工作量指标_表8-2" xfId="1557"/>
    <cellStyle name="好_业务工作量指标_表8-3" xfId="1558"/>
    <cellStyle name="好_义务教育阶段教职工人数（教育厅提供最终）" xfId="1559"/>
    <cellStyle name="好_义务教育阶段教职工人数（教育厅提供最终）_2016年1月13日人大报告表格定版 王丽君" xfId="1560"/>
    <cellStyle name="好_义务教育阶段教职工人数（教育厅提供最终）_表4-4 " xfId="1561"/>
    <cellStyle name="好_义务教育阶段教职工人数（教育厅提供最终）_表8-2" xfId="1562"/>
    <cellStyle name="好_义务教育阶段教职工人数（教育厅提供最终）_表8-3" xfId="1563"/>
    <cellStyle name="好_云南农村义务教育统计表" xfId="1564"/>
    <cellStyle name="好_云南农村义务教育统计表_2016年1月13日人大报告表格定版 王丽君" xfId="1565"/>
    <cellStyle name="好_云南农村义务教育统计表_表8-2" xfId="1566"/>
    <cellStyle name="好_云南农村义务教育统计表_表8-3" xfId="1567"/>
    <cellStyle name="好_云南省2008年中小学教师人数统计表" xfId="1568"/>
    <cellStyle name="好_云南省2008年中小学教师人数统计表_表4-3" xfId="1569"/>
    <cellStyle name="好_云南省2008年中小学教师人数统计表_表4-4 " xfId="1570"/>
    <cellStyle name="好_云南省2008年中小学教职工情况（教育厅提供20090101加工整理）_2016年1月13日人大报告表格定版 王丽君" xfId="1571"/>
    <cellStyle name="好_云南省2008年中小学教职工情况（教育厅提供20090101加工整理）_表4-3" xfId="1572"/>
    <cellStyle name="好_云南省2008年中小学教职工情况（教育厅提供20090101加工整理）_表4-4 " xfId="1573"/>
    <cellStyle name="好_云南省2008年中小学教职工情况（教育厅提供20090101加工整理）_表8-2" xfId="1574"/>
    <cellStyle name="好_云南省2008年中小学教职工情况（教育厅提供20090101加工整理）_表8-3" xfId="1575"/>
    <cellStyle name="好_云南省2008年转移支付测算——州市本级考核部分及政策性测算" xfId="1576"/>
    <cellStyle name="好_云南省2008年转移支付测算——州市本级考核部分及政策性测算_2016年1月13日人大报告表格定版 王丽君" xfId="1577"/>
    <cellStyle name="好_云南省2008年转移支付测算——州市本级考核部分及政策性测算_表4-4 " xfId="1578"/>
    <cellStyle name="链接单元格 2" xfId="1579"/>
    <cellStyle name="好_云南省2008年转移支付测算——州市本级考核部分及政策性测算_表8-2" xfId="1580"/>
    <cellStyle name="好_云南省2008年转移支付测算——州市本级考核部分及政策性测算_表8-3" xfId="1581"/>
    <cellStyle name="好_云南水利电力有限公司" xfId="1582"/>
    <cellStyle name="好_云南水利电力有限公司_2016年1月13日人大报告表格定版 王丽君" xfId="1583"/>
    <cellStyle name="好_云南水利电力有限公司_表4-4 " xfId="1584"/>
    <cellStyle name="好_云南水利电力有限公司_表8-2" xfId="1585"/>
    <cellStyle name="好_指标四" xfId="1586"/>
    <cellStyle name="好_指标四_2016年1月13日人大报告表格定版 王丽君" xfId="1587"/>
    <cellStyle name="好_指标四_表4-3" xfId="1588"/>
    <cellStyle name="好_指标四_表8-3" xfId="1589"/>
    <cellStyle name="货币 2" xfId="1590"/>
    <cellStyle name="好_指标五" xfId="1591"/>
    <cellStyle name="好_指标五_2016年1月13日人大报告表格定版 王丽君" xfId="1592"/>
    <cellStyle name="好_指标五_表4-3" xfId="1593"/>
    <cellStyle name="好_指标五_表4-4 " xfId="1594"/>
    <cellStyle name="后继超级链接" xfId="1595"/>
    <cellStyle name="后继超链接" xfId="1596"/>
    <cellStyle name="汇总 2" xfId="1597"/>
    <cellStyle name="货币 2 2" xfId="1598"/>
    <cellStyle name="貨幣 [0]_SGV" xfId="1599"/>
    <cellStyle name="貨幣_SGV" xfId="1600"/>
    <cellStyle name="计算 2" xfId="1601"/>
    <cellStyle name="检查单元格 2" xfId="1602"/>
    <cellStyle name="检查单元格_1.13 2017年基金预算表-余超" xfId="1603"/>
    <cellStyle name="解释性文本 2" xfId="1604"/>
    <cellStyle name="借出原因" xfId="1605"/>
    <cellStyle name="콤마 [0]_BOILER-CO1" xfId="1606"/>
    <cellStyle name="콤마_BOILER-CO1" xfId="1607"/>
    <cellStyle name="통화 [0]_BOILER-CO1" xfId="1608"/>
    <cellStyle name="표준_0N-HANDLING " xfId="1609"/>
    <cellStyle name="霓付 [0]_ +Foil &amp; -FOIL &amp; PAPER" xfId="1610"/>
    <cellStyle name="霓付_ +Foil &amp; -FOIL &amp; PAPER" xfId="1611"/>
    <cellStyle name="烹拳 [0]_ +Foil &amp; -FOIL &amp; PAPER" xfId="1612"/>
    <cellStyle name="烹拳_ +Foil &amp; -FOIL &amp; PAPER" xfId="1613"/>
    <cellStyle name="普通_ 白土" xfId="1614"/>
    <cellStyle name="千分位[0]_ 白土" xfId="1615"/>
    <cellStyle name="千位_ 方正PC" xfId="1616"/>
    <cellStyle name="千位分隔 2" xfId="1617"/>
    <cellStyle name="千位分隔 4" xfId="1618"/>
    <cellStyle name="千位分隔 5" xfId="1619"/>
    <cellStyle name="千位分隔 6" xfId="1620"/>
    <cellStyle name="千位分隔[0] 2" xfId="1621"/>
    <cellStyle name="强调 1" xfId="1622"/>
    <cellStyle name="强调 2" xfId="1623"/>
    <cellStyle name="强调 3" xfId="1624"/>
    <cellStyle name="强调文字颜色 1 2" xfId="1625"/>
    <cellStyle name="强调文字颜色 2 2" xfId="1626"/>
    <cellStyle name="强调文字颜色 2_1.13 2017年基金预算表-余超" xfId="1627"/>
    <cellStyle name="强调文字颜色 3_1.13 2017年基金预算表-余超" xfId="1628"/>
    <cellStyle name="强调文字颜色 5 2" xfId="1629"/>
    <cellStyle name="强调文字颜色 6_1.13 2017年基金预算表-余超" xfId="1630"/>
    <cellStyle name="商品名称" xfId="1631"/>
    <cellStyle name="适中 2" xfId="1632"/>
    <cellStyle name="适中_1.13 2017年基金预算表-余超" xfId="1633"/>
    <cellStyle name="输出 2" xfId="1634"/>
    <cellStyle name="输出_1.13 2017年基金预算表-余超" xfId="1635"/>
    <cellStyle name="数量" xfId="1636"/>
    <cellStyle name="数字" xfId="1637"/>
    <cellStyle name="未定义" xfId="1638"/>
    <cellStyle name="小数" xfId="1639"/>
    <cellStyle name="一般_SGV" xfId="1640"/>
    <cellStyle name="昗弨_Pacific Region P&amp;L" xfId="1641"/>
    <cellStyle name="寘嬫愗傝 [0.00]_Region Orders (2)" xfId="1642"/>
    <cellStyle name="寘嬫愗傝_Region Orders (2)" xfId="1643"/>
    <cellStyle name="注释 2" xfId="164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styles" Target="styles.xml" /><Relationship Id="rId36" Type="http://schemas.openxmlformats.org/officeDocument/2006/relationships/sharedStrings" Target="sharedStrings.xml" /><Relationship Id="rId37" Type="http://schemas.openxmlformats.org/officeDocument/2006/relationships/externalLink" Target="externalLinks/externalLink1.xml" /><Relationship Id="rId38" Type="http://schemas.openxmlformats.org/officeDocument/2006/relationships/externalLink" Target="externalLinks/externalLink2.xml" /><Relationship Id="rId39" Type="http://schemas.openxmlformats.org/officeDocument/2006/relationships/externalLink" Target="externalLinks/externalLink3.xml" /><Relationship Id="rId40" Type="http://schemas.openxmlformats.org/officeDocument/2006/relationships/externalLink" Target="externalLinks/externalLink4.xml" /><Relationship Id="rId41" Type="http://schemas.openxmlformats.org/officeDocument/2006/relationships/externalLink" Target="externalLinks/externalLink5.xml" /><Relationship Id="rId42" Type="http://schemas.openxmlformats.org/officeDocument/2006/relationships/externalLink" Target="externalLinks/externalLink6.xml" /><Relationship Id="rId43" Type="http://schemas.openxmlformats.org/officeDocument/2006/relationships/externalLink" Target="externalLinks/externalLink7.xml" /><Relationship Id="rId44" Type="http://schemas.openxmlformats.org/officeDocument/2006/relationships/externalLink" Target="externalLinks/externalLink8.xml" /><Relationship Id="rId45" Type="http://schemas.openxmlformats.org/officeDocument/2006/relationships/externalLink" Target="externalLinks/externalLink9.xml" /><Relationship Id="rId46" Type="http://schemas.openxmlformats.org/officeDocument/2006/relationships/externalLink" Target="externalLinks/externalLink10.xml" /><Relationship Id="rId47" Type="http://schemas.openxmlformats.org/officeDocument/2006/relationships/externalLink" Target="externalLinks/externalLink11.xml" /><Relationship Id="rId48" Type="http://schemas.openxmlformats.org/officeDocument/2006/relationships/externalLink" Target="externalLinks/externalLink12.xml" /><Relationship Id="rId49" Type="http://schemas.openxmlformats.org/officeDocument/2006/relationships/externalLink" Target="externalLinks/externalLink13.xml" /><Relationship Id="rId50" Type="http://schemas.openxmlformats.org/officeDocument/2006/relationships/externalLink" Target="externalLinks/externalLink14.xml" /><Relationship Id="rId51" Type="http://schemas.openxmlformats.org/officeDocument/2006/relationships/externalLink" Target="externalLinks/externalLink15.xml" /><Relationship Id="rId52" Type="http://schemas.openxmlformats.org/officeDocument/2006/relationships/externalLink" Target="externalLinks/externalLink16.xml" /><Relationship Id="rId53" Type="http://schemas.openxmlformats.org/officeDocument/2006/relationships/externalLink" Target="externalLinks/externalLink17.xml" /><Relationship Id="rId54" Type="http://schemas.openxmlformats.org/officeDocument/2006/relationships/externalLink" Target="externalLinks/externalLink18.xml" /><Relationship Id="rId55" Type="http://schemas.openxmlformats.org/officeDocument/2006/relationships/externalLink" Target="externalLinks/externalLink19.xml" /><Relationship Id="rId56" Type="http://schemas.openxmlformats.org/officeDocument/2006/relationships/externalLink" Target="externalLinks/externalLink20.xml" /><Relationship Id="rId57" Type="http://schemas.openxmlformats.org/officeDocument/2006/relationships/externalLink" Target="externalLinks/externalLink21.xml" /><Relationship Id="rId58" Type="http://schemas.openxmlformats.org/officeDocument/2006/relationships/externalLink" Target="externalLinks/externalLink22.xml" /><Relationship Id="rId59" Type="http://schemas.openxmlformats.org/officeDocument/2006/relationships/externalLink" Target="externalLinks/externalLink23.xml" /><Relationship Id="rId60" Type="http://schemas.openxmlformats.org/officeDocument/2006/relationships/externalLink" Target="externalLinks/externalLink24.xml" /><Relationship Id="rId61" Type="http://schemas.openxmlformats.org/officeDocument/2006/relationships/externalLink" Target="externalLinks/externalLink25.xml" /><Relationship Id="rId62" Type="http://schemas.openxmlformats.org/officeDocument/2006/relationships/externalLink" Target="externalLinks/externalLink26.xml" /><Relationship Id="rId63" Type="http://schemas.openxmlformats.org/officeDocument/2006/relationships/externalLink" Target="externalLinks/externalLink27.xml" /><Relationship Id="rId64" Type="http://schemas.openxmlformats.org/officeDocument/2006/relationships/externalLink" Target="externalLinks/externalLink28.xml" /><Relationship Id="rId65" Type="http://schemas.openxmlformats.org/officeDocument/2006/relationships/externalLink" Target="externalLinks/externalLink29.xml" /><Relationship Id="rId66" Type="http://schemas.openxmlformats.org/officeDocument/2006/relationships/externalLink" Target="externalLinks/externalLink30.xml" /><Relationship Id="rId67" Type="http://schemas.openxmlformats.org/officeDocument/2006/relationships/externalLink" Target="externalLinks/externalLink31.xml" /><Relationship Id="rId68" Type="http://schemas.openxmlformats.org/officeDocument/2006/relationships/externalLink" Target="externalLinks/externalLink32.xml" /><Relationship Id="rId69" Type="http://schemas.openxmlformats.org/officeDocument/2006/relationships/externalLink" Target="externalLinks/externalLink33.xml" /><Relationship Id="rId70" Type="http://schemas.openxmlformats.org/officeDocument/2006/relationships/externalLink" Target="externalLinks/externalLink34.xml" /><Relationship Id="rId71" Type="http://schemas.openxmlformats.org/officeDocument/2006/relationships/externalLink" Target="externalLinks/externalLink35.xml" /><Relationship Id="rId72" Type="http://schemas.openxmlformats.org/officeDocument/2006/relationships/externalLink" Target="externalLinks/externalLink36.xml" /><Relationship Id="rId7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HANGHAI_LF\&#39044;&#31639;&#22788;\BY\YS3\97&#20915;&#31639;&#21306;&#21439;&#26368;&#21518;&#27719;&#24635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2004&#24180;&#20113;&#21335;&#30465;&#20998;&#21439;&#34892;&#25919;&#21644;&#20844;&#26816;&#27861;&#21496;&#37096;&#38376;&#32534;&#21046;&#25968;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3&#24180;&#20113;&#21335;&#30465;&#20998;&#22320;&#21439;&#24037;&#21830;&#31246;&#25910;&#20915;&#31639;&#25968;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DATA%20Folder\2004&#24180;&#19968;&#33324;&#24615;&#36716;&#31227;&#25903;&#20184;\2004&#24180;&#20113;&#21335;&#30465;&#20998;&#21439;&#20844;&#29992;&#26631;&#20934;&#25903;&#20986;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OCUME~1\zq\LOCALS~1\Temp\&#25919;&#27861;&#21475;&#24120;&#29992;&#32479;&#35745;&#36164;&#26009;\&#19977;&#23395;&#24230;&#27719;&#24635;\&#39044;&#31639;\2006&#39044;&#31639;&#25253;&#34920;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2003&#24180;&#20113;&#21335;&#30465;&#20998;&#21439;&#20892;&#19994;&#20154;&#21475;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2004&#24180;&#20113;&#21335;&#30465;&#20998;&#21439;&#20892;&#19994;&#29992;&#22320;&#38754;&#31215;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BSERVER\&#39044;&#31639;&#21496;\&#20849;&#20139;&#25968;&#25454;\&#21382;&#24180;&#20915;&#31639;\1996&#24180;\1996&#24180;&#20915;&#31639;&#27719;&#24635;\2021&#28246;&#21271;&#30465;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DATA%20Folder\2004&#24180;&#19968;&#33324;&#24615;&#36716;&#31227;&#25903;&#20184;\2004&#24180;&#20113;&#21335;&#30465;&#20998;&#21439;&#20154;&#21592;&#26631;&#20934;&#25903;&#20986;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DATA%20Folder\2004&#24180;&#19968;&#33324;&#24615;&#36716;&#31227;&#25903;&#20184;\2004&#24180;&#20113;&#21335;&#30465;&#20998;&#21439;&#20107;&#19994;&#21457;&#23637;&#25903;&#20986;&#65288;&#32463;&#24046;&#24322;&#35843;&#25972;&#65289;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NDOWS.000\Desktop\&#25105;&#30340;&#20844;&#25991;&#21253;\&#36213;&#21746;&#36132;&#25991;&#20214;&#22841;\&#25253;&#3492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2004&#24180;&#20113;&#21335;&#30465;&#20998;&#21439;&#26412;&#32423;&#26631;&#20934;&#25910;&#20837;&#21512;&#35745;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&#20065;&#38215;&#21644;&#34892;&#25919;&#26449;&#20010;&#25968;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OCUME~1\zq\LOCALS~1\Temp\&#36130;&#25919;&#20379;&#20859;&#20154;&#21592;&#20449;&#24687;&#34920;\&#25945;&#32946;\&#27896;&#27700;&#22235;&#20013;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2&#24180;&#20113;&#21335;&#30465;&#20998;&#21439;&#19968;&#33324;&#39044;&#31639;&#25910;&#20837;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udgetserver\&#39044;&#31639;&#21496;\BY\YS3\97&#20915;&#31639;&#21306;&#21439;&#26368;&#21518;&#27719;&#24635;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2003&#24180;&#20113;&#21335;&#30465;&#20998;&#21439;&#20013;&#23567;&#23398;&#29983;&#20154;&#25968;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2003&#24180;&#20113;&#21335;&#30465;&#20998;&#21439;&#24635;&#20154;&#21475;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Spares\FILES\SMCTS2\SMCTSSP2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Backup%20of%20Backup%20of%20LINDA%20LISTONE.xlk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CHR\ARBEJDE\Q4DK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GP\GP_Ph1\SBB-OIs\Hel-OI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10.124.1.30/cgi-bin/read_attach/application/octet-stream1MKxqC5YTFM=/&#25509;&#25910;&#25991;&#20214;&#30446;&#24405;/&#39044;&#31639;&#32929;212052004-5-13%2016&#65306;33&#65306;36/2004&#24180;&#24120;&#29992;/2004&#26376;&#25253;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GP\tamer\DOS\TEMP\GPTLBX90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POWER%20ASSUMPTION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GP\tamer\WINDOWS\GP_AT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NDOWS\TEMP\GOLDPYR4\ARENTO\TOOLBOX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fnl-gp2\ToolboxGP\Kor\OSP_Becht_Fin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2007&#24180;&#25237;&#26631;&#39033;&#30446;\&#20140;&#27818;&#39640;&#36895;&#38081;&#36335;\&#24037;&#31243;&#37327;&#28165;&#21333;&#65288;&#21407;&#31295;&#65289;\JHTJ-2&#26631;%20&#34920;4-8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w02\&#26412;&#22320;&#30913;&#30424;%20(d)\Documents%20and%20Settings\Administrator\&#26700;&#38754;\2017&#24180;1&#26376;24&#26085;-&#23450;&#34920;%202017&#24180;&#20998;&#26512;&#34920;-&#29992;&#20110;&#20154;&#22823;&#25253;&#21578;&#38468;&#34920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3&#24180;&#20113;&#21335;&#30465;&#20998;&#21439;&#36130;&#25919;&#20840;&#20379;&#20859;&#20154;&#21592;&#22686;&#24133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DATA%20Folder\2004&#24180;&#19968;&#33324;&#24615;&#36716;&#31227;&#25903;&#20184;\2004&#24180;&#20113;&#21335;&#30465;&#20998;&#21439;&#26449;&#32423;&#26631;&#20934;&#25903;&#20986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ocuments%20and%20Settings\Administrator\&#26700;&#38754;\&#32489;&#25928;\&#27575;&#38177;&#29790;\&#21271;&#20140;&#24503;&#21150;\2007&#24180;&#27979;&#31639;&#26041;&#26696;\&#19968;&#22870;\Documents%20and%20Settings\caiqiang\My%20Documents\&#21439;&#20065;&#36130;&#25919;&#22256;&#38590;&#27979;&#31639;&#26041;&#26696;\&#26041;&#26696;&#19977;&#31295;\&#26041;&#26696;&#20108;&#31295;\&#35774;&#22791;\&#21407;&#22987;\814\13%20&#38081;&#36335;&#37197;&#20214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3&#24180;&#20113;&#21335;&#30465;&#20998;&#21439;GDP&#21450;&#20998;&#20135;&#19994;&#25968;&#25454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OCUME~1\zq\LOCALS~1\Temp\04&#20307;&#21046;&#31185;\03&#24180;&#32456;&#32467;&#31639;&#21450;&#25968;&#25454;&#20998;&#26512;\2006&#24180;\&#20915;&#31639;&#21450;&#25968;&#25454;&#20998;&#26512;\&#20915;&#31639;&#20998;&#26512;&#36164;&#26009;&#32467;&#26524;\&#21439;&#32423;&#36130;&#25919;&#25253;&#34920;&#38468;&#34920;\01&#26118;&#26126;\01&#26118;&#26126;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3&#24180;&#20998;&#22320;&#21439;&#36130;&#25919;&#19968;&#33324;&#39044;&#31639;&#25910;&#2083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  <sheetName val=""/>
      <sheetName val="各年度收费、罚没、专项收入.xls_Sheet3"/>
      <sheetName val="各年度收费、罚没、专项收入.xls_Sheet3"/>
      <sheetName val="表二"/>
      <sheetName val="表五"/>
      <sheetName val="2012.2.2 (整合)"/>
      <sheetName val="2012.2.2"/>
      <sheetName val="全市结转"/>
      <sheetName val="提前告知数"/>
      <sheetName val="总人口"/>
      <sheetName val="基础编码"/>
      <sheetName val="省本级收入预计"/>
      <sheetName val="区划对应表"/>
      <sheetName val="1-4余额表"/>
      <sheetName val="四月份月报"/>
      <sheetName val="XL4Poppy"/>
      <sheetName val="DDETABLE "/>
      <sheetName val="#REF"/>
      <sheetName val="2000地方"/>
      <sheetName val="01北京市"/>
      <sheetName val="中央"/>
      <sheetName val="有效性列表"/>
      <sheetName val="录入表"/>
      <sheetName val="DY-（调整特殊因素）增量对应重点（汇报）"/>
      <sheetName val="C01-1"/>
      <sheetName val="mx"/>
      <sheetName val="单位编码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行政编制"/>
      <sheetName val="公检法司编制"/>
      <sheetName val="行政和公检法司人数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工商税收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合计"/>
      <sheetName val="行政"/>
      <sheetName val="公检法司"/>
      <sheetName val="教育"/>
      <sheetName val="其他事业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单位信息1"/>
      <sheetName val="单位信息2"/>
      <sheetName val="非税征收"/>
      <sheetName val="政府采购"/>
      <sheetName val="基本支出预算"/>
      <sheetName val="项目预算"/>
      <sheetName val="成本性预算"/>
      <sheetName val="收支预算总表"/>
      <sheetName val="编码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农业人口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农业用地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C01-1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人员支出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事业发展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四月份月报"/>
      <sheetName val="C01-1"/>
      <sheetName val="本年收入合计"/>
      <sheetName val="封面"/>
      <sheetName val="农业用地"/>
      <sheetName val="村级支出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本年收入合计"/>
      <sheetName val="01.增值税"/>
      <sheetName val="03.营业税"/>
      <sheetName val="04.企业所得税"/>
      <sheetName val="07.个人所得税"/>
      <sheetName val="08.资源税"/>
      <sheetName val="09.投调税"/>
      <sheetName val="10.城建税"/>
      <sheetName val="11.房产税"/>
      <sheetName val="12.印花税"/>
      <sheetName val="13.城镇土地使用税"/>
      <sheetName val="14.土地增值税"/>
      <sheetName val="15.车船使用和牌照税"/>
      <sheetName val="25.屠宰税"/>
      <sheetName val="30.农业税"/>
      <sheetName val="31.烟叶农特税"/>
      <sheetName val="33.耕地占用税"/>
      <sheetName val="34.契税"/>
      <sheetName val="40.经营收益"/>
      <sheetName val="41.亏损补贴"/>
      <sheetName val="42.行政性收费"/>
      <sheetName val="43.罚没收入"/>
      <sheetName val="70.专项收入"/>
      <sheetName val="71.其他收入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行政区划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单位信息录入表"/>
      <sheetName val="人员信息录入表"/>
      <sheetName val="基础编码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2002年一般预算收入"/>
    </sheetNames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  <sheetName val="基础编码"/>
      <sheetName val="2002年一般预算收入"/>
      <sheetName val="财政供养人员增幅"/>
      <sheetName val="工商税收"/>
      <sheetName val="参数表"/>
      <sheetName val="区划对应表"/>
      <sheetName val="C01-1"/>
      <sheetName val="四月份月报"/>
    </sheetNames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中小学生"/>
    </sheetNames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总人口"/>
    </sheetNames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eqpmad2"/>
    </sheetNames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Open"/>
    </sheetNames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</sheetNames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SW-TEO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月报"/>
      <sheetName val="1月报"/>
      <sheetName val="2月报"/>
      <sheetName val="3月报"/>
      <sheetName val="4月报"/>
      <sheetName val="5月报"/>
      <sheetName val="6月报"/>
      <sheetName val="7月报"/>
      <sheetName val="8月报"/>
      <sheetName val="9月报"/>
      <sheetName val="10月报"/>
      <sheetName val="11月报"/>
      <sheetName val="12月报"/>
      <sheetName val="汇总"/>
    </sheetNames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Toolbox"/>
    </sheetNames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POWER ASSUMPTIONS"/>
    </sheetNames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Financ. Overview"/>
      <sheetName val="Toolbox"/>
    </sheetNames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Toolbox"/>
    </sheetNames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G.1R-Shou COP Gf"/>
    </sheetNames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铁道部4-8"/>
      <sheetName val="建设单位4-8"/>
      <sheetName val="4-8 甲控材料表"/>
    </sheetNames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2017年分析总表"/>
      <sheetName val="分类汇总表"/>
      <sheetName val="分科目对比表"/>
      <sheetName val="2017年市本级支出测算表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财政供养人员增幅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村级支出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Sheet3"/>
      <sheetName val="Sheet4"/>
      <sheetName val="laroux"/>
      <sheetName val="评估结果汇总表"/>
      <sheetName val="评估分类汇总表"/>
      <sheetName val="流动资产汇总表"/>
      <sheetName val="4货币现金"/>
      <sheetName val="5银行存款"/>
      <sheetName val="11应收帐款"/>
      <sheetName val="14预付帐"/>
      <sheetName val="16其他应收"/>
      <sheetName val="存货汇总"/>
      <sheetName val="23产成品 "/>
      <sheetName val="长期投资汇总表"/>
      <sheetName val="其他投资"/>
      <sheetName val="固定资产汇总表"/>
      <sheetName val="38房屋建筑"/>
      <sheetName val="41机器设备"/>
      <sheetName val="42车辆"/>
      <sheetName val="流动负债汇总表"/>
      <sheetName val="58应付帐"/>
      <sheetName val="61其他应付"/>
      <sheetName val="62应付工资"/>
      <sheetName val="63应付福利费"/>
      <sheetName val="64应交税金"/>
      <sheetName val="应付利润"/>
      <sheetName val="其他应交款"/>
      <sheetName val="长期负债汇总表"/>
      <sheetName val="在建"/>
      <sheetName val="XL4Poppy"/>
      <sheetName val="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DP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封面"/>
      <sheetName val="目录"/>
      <sheetName val="A01"/>
      <sheetName val="A02"/>
      <sheetName val="A03"/>
      <sheetName val="A04"/>
      <sheetName val="A05"/>
      <sheetName val="A06"/>
      <sheetName val="A07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一般预算收入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L16"/>
  <sheetViews>
    <sheetView tabSelected="1" workbookViewId="0" topLeftCell="A1">
      <selection activeCell="D18" sqref="D18"/>
    </sheetView>
  </sheetViews>
  <sheetFormatPr defaultColWidth="9.00390625" defaultRowHeight="14.25"/>
  <cols>
    <col min="3" max="3" width="5.125" style="0" customWidth="1"/>
  </cols>
  <sheetData>
    <row r="3" spans="1:3" ht="20.25">
      <c r="A3" s="482" t="s">
        <v>0</v>
      </c>
      <c r="B3" s="482"/>
      <c r="C3" s="482"/>
    </row>
    <row r="4" spans="1:12" ht="20.25" customHeight="1">
      <c r="A4" s="482" t="s">
        <v>1</v>
      </c>
      <c r="B4" s="482"/>
      <c r="C4" s="482"/>
      <c r="E4" s="483"/>
      <c r="H4" s="484"/>
      <c r="L4" s="484"/>
    </row>
    <row r="9" ht="21" customHeight="1"/>
    <row r="10" spans="2:12" ht="46.5">
      <c r="B10" s="485" t="s">
        <v>2</v>
      </c>
      <c r="C10" s="485"/>
      <c r="D10" s="485"/>
      <c r="E10" s="485"/>
      <c r="F10" s="485"/>
      <c r="G10" s="485"/>
      <c r="H10" s="485"/>
      <c r="I10" s="485"/>
      <c r="J10" s="485"/>
      <c r="K10" s="485"/>
      <c r="L10" s="485"/>
    </row>
    <row r="11" spans="2:12" ht="46.5">
      <c r="B11" s="485" t="s">
        <v>3</v>
      </c>
      <c r="C11" s="485"/>
      <c r="D11" s="485"/>
      <c r="E11" s="485"/>
      <c r="F11" s="485"/>
      <c r="G11" s="485"/>
      <c r="H11" s="485"/>
      <c r="I11" s="485"/>
      <c r="J11" s="485"/>
      <c r="K11" s="485"/>
      <c r="L11" s="485"/>
    </row>
    <row r="16" spans="1:7" ht="27.75" customHeight="1">
      <c r="A16" s="486"/>
      <c r="B16" s="486"/>
      <c r="C16" s="486"/>
      <c r="D16" s="486"/>
      <c r="E16" s="486"/>
      <c r="F16" s="486"/>
      <c r="G16" s="486"/>
    </row>
  </sheetData>
  <sheetProtection/>
  <mergeCells count="4">
    <mergeCell ref="A3:C3"/>
    <mergeCell ref="A4:C4"/>
    <mergeCell ref="B10:L10"/>
    <mergeCell ref="B11:L11"/>
  </mergeCells>
  <printOptions/>
  <pageMargins left="0.75" right="0.75" top="0.98" bottom="0.98" header="0.51" footer="0.51"/>
  <pageSetup horizontalDpi="1200" verticalDpi="12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</sheetPr>
  <dimension ref="A1:P28"/>
  <sheetViews>
    <sheetView workbookViewId="0" topLeftCell="A1">
      <pane xSplit="1" ySplit="5" topLeftCell="B18" activePane="bottomRight" state="frozen"/>
      <selection pane="bottomRight" activeCell="A2" sqref="A2:P2"/>
    </sheetView>
  </sheetViews>
  <sheetFormatPr defaultColWidth="9.00390625" defaultRowHeight="14.25"/>
  <cols>
    <col min="1" max="1" width="35.50390625" style="367" customWidth="1"/>
    <col min="2" max="2" width="12.75390625" style="368" customWidth="1"/>
    <col min="3" max="3" width="11.875" style="368" customWidth="1"/>
    <col min="4" max="4" width="11.875" style="369" customWidth="1"/>
    <col min="5" max="5" width="11.875" style="368" customWidth="1"/>
    <col min="6" max="6" width="12.75390625" style="368" customWidth="1"/>
    <col min="7" max="7" width="13.50390625" style="369" customWidth="1"/>
    <col min="8" max="8" width="12.375" style="368" customWidth="1"/>
    <col min="9" max="9" width="13.125" style="368" customWidth="1"/>
    <col min="10" max="10" width="11.875" style="369" customWidth="1"/>
    <col min="11" max="11" width="7.25390625" style="370" hidden="1" customWidth="1"/>
    <col min="12" max="12" width="7.25390625" style="371" hidden="1" customWidth="1"/>
    <col min="13" max="13" width="8.50390625" style="370" hidden="1" customWidth="1"/>
    <col min="14" max="15" width="7.625" style="367" hidden="1" customWidth="1"/>
    <col min="16" max="16" width="8.125" style="367" hidden="1" customWidth="1"/>
    <col min="17" max="16384" width="9.00390625" style="367" customWidth="1"/>
  </cols>
  <sheetData>
    <row r="1" ht="18" customHeight="1">
      <c r="A1" s="7" t="s">
        <v>889</v>
      </c>
    </row>
    <row r="2" spans="1:16" ht="25.5" customHeight="1">
      <c r="A2" s="372" t="s">
        <v>890</v>
      </c>
      <c r="B2" s="372"/>
      <c r="C2" s="372"/>
      <c r="D2" s="372"/>
      <c r="E2" s="372"/>
      <c r="F2" s="372"/>
      <c r="G2" s="372"/>
      <c r="H2" s="372"/>
      <c r="I2" s="372"/>
      <c r="J2" s="372"/>
      <c r="K2" s="372"/>
      <c r="L2" s="372"/>
      <c r="M2" s="372"/>
      <c r="N2" s="372"/>
      <c r="O2" s="372"/>
      <c r="P2" s="372"/>
    </row>
    <row r="3" spans="1:13" ht="18" customHeight="1">
      <c r="A3" s="373"/>
      <c r="I3" s="378" t="s">
        <v>6</v>
      </c>
      <c r="J3" s="378"/>
      <c r="M3" s="379"/>
    </row>
    <row r="4" spans="1:16" s="366" customFormat="1" ht="17.25" customHeight="1">
      <c r="A4" s="202" t="s">
        <v>7</v>
      </c>
      <c r="B4" s="59" t="s">
        <v>87</v>
      </c>
      <c r="C4" s="60"/>
      <c r="D4" s="61"/>
      <c r="E4" s="176" t="s">
        <v>88</v>
      </c>
      <c r="F4" s="177"/>
      <c r="G4" s="178"/>
      <c r="H4" s="176" t="s">
        <v>89</v>
      </c>
      <c r="I4" s="177"/>
      <c r="J4" s="178"/>
      <c r="K4" s="176" t="s">
        <v>891</v>
      </c>
      <c r="L4" s="177"/>
      <c r="M4" s="178"/>
      <c r="N4" s="175" t="s">
        <v>892</v>
      </c>
      <c r="O4" s="175"/>
      <c r="P4" s="175"/>
    </row>
    <row r="5" spans="1:16" s="366" customFormat="1" ht="35.25" customHeight="1">
      <c r="A5" s="202"/>
      <c r="B5" s="179" t="s">
        <v>93</v>
      </c>
      <c r="C5" s="179" t="s">
        <v>8</v>
      </c>
      <c r="D5" s="149" t="s">
        <v>893</v>
      </c>
      <c r="E5" s="179" t="s">
        <v>93</v>
      </c>
      <c r="F5" s="179" t="s">
        <v>8</v>
      </c>
      <c r="G5" s="149" t="s">
        <v>893</v>
      </c>
      <c r="H5" s="179" t="s">
        <v>93</v>
      </c>
      <c r="I5" s="179" t="s">
        <v>8</v>
      </c>
      <c r="J5" s="149" t="s">
        <v>893</v>
      </c>
      <c r="K5" s="377" t="s">
        <v>894</v>
      </c>
      <c r="L5" s="380" t="s">
        <v>895</v>
      </c>
      <c r="M5" s="377" t="s">
        <v>896</v>
      </c>
      <c r="N5" s="377" t="s">
        <v>894</v>
      </c>
      <c r="O5" s="377" t="s">
        <v>895</v>
      </c>
      <c r="P5" s="377" t="s">
        <v>896</v>
      </c>
    </row>
    <row r="6" spans="1:16" s="366" customFormat="1" ht="19.5" customHeight="1">
      <c r="A6" s="203" t="s">
        <v>12</v>
      </c>
      <c r="B6" s="374">
        <v>124524</v>
      </c>
      <c r="C6" s="374">
        <v>142056.2</v>
      </c>
      <c r="D6" s="205">
        <v>15.689487942740499</v>
      </c>
      <c r="E6" s="374">
        <v>190029</v>
      </c>
      <c r="F6" s="374">
        <v>200321</v>
      </c>
      <c r="G6" s="205">
        <v>7</v>
      </c>
      <c r="H6" s="375">
        <v>338200</v>
      </c>
      <c r="I6" s="375">
        <v>335634</v>
      </c>
      <c r="J6" s="205">
        <v>12.098482262122182</v>
      </c>
      <c r="K6" s="381">
        <f aca="true" t="shared" si="0" ref="K6:K16">L6*1.15</f>
        <v>13049.05</v>
      </c>
      <c r="L6" s="382">
        <f>SUM(L7:L20)</f>
        <v>11347</v>
      </c>
      <c r="M6" s="383">
        <f aca="true" t="shared" si="1" ref="M6:M16">K6/L6-1</f>
        <v>0.1499999999999999</v>
      </c>
      <c r="N6" s="381"/>
      <c r="O6" s="381"/>
      <c r="P6" s="205"/>
    </row>
    <row r="7" spans="1:16" s="366" customFormat="1" ht="19.5" customHeight="1">
      <c r="A7" s="203" t="s">
        <v>897</v>
      </c>
      <c r="B7" s="374">
        <v>39661.7</v>
      </c>
      <c r="C7" s="374">
        <v>48713</v>
      </c>
      <c r="D7" s="205">
        <v>39.8705741289321</v>
      </c>
      <c r="E7" s="374">
        <v>66727</v>
      </c>
      <c r="F7" s="376">
        <v>52686</v>
      </c>
      <c r="G7" s="205">
        <v>7</v>
      </c>
      <c r="H7" s="375">
        <v>70000</v>
      </c>
      <c r="I7" s="384">
        <v>37804</v>
      </c>
      <c r="J7" s="205">
        <v>83.27965857617889</v>
      </c>
      <c r="K7" s="381">
        <f t="shared" si="0"/>
        <v>4742.599999999999</v>
      </c>
      <c r="L7" s="385">
        <v>4124</v>
      </c>
      <c r="M7" s="383">
        <f t="shared" si="1"/>
        <v>0.1499999999999999</v>
      </c>
      <c r="N7" s="386"/>
      <c r="O7" s="386"/>
      <c r="P7" s="205"/>
    </row>
    <row r="8" spans="1:16" s="366" customFormat="1" ht="19.5" customHeight="1">
      <c r="A8" s="203" t="s">
        <v>898</v>
      </c>
      <c r="B8" s="374">
        <v>0</v>
      </c>
      <c r="C8" s="374">
        <v>19131</v>
      </c>
      <c r="D8" s="205">
        <v>-100</v>
      </c>
      <c r="E8" s="374">
        <v>0</v>
      </c>
      <c r="F8" s="376">
        <v>28277</v>
      </c>
      <c r="G8" s="205">
        <v>7</v>
      </c>
      <c r="H8" s="375"/>
      <c r="I8" s="384">
        <v>69955</v>
      </c>
      <c r="J8" s="205">
        <v>-100</v>
      </c>
      <c r="K8" s="381">
        <f t="shared" si="0"/>
        <v>1327.1</v>
      </c>
      <c r="L8" s="385">
        <v>1154</v>
      </c>
      <c r="M8" s="383">
        <f t="shared" si="1"/>
        <v>0.1499999999999999</v>
      </c>
      <c r="N8" s="386"/>
      <c r="O8" s="386"/>
      <c r="P8" s="205"/>
    </row>
    <row r="9" spans="1:16" s="366" customFormat="1" ht="19.5" customHeight="1">
      <c r="A9" s="203" t="s">
        <v>899</v>
      </c>
      <c r="B9" s="374">
        <v>23825.3</v>
      </c>
      <c r="C9" s="374">
        <v>22231.8</v>
      </c>
      <c r="D9" s="205">
        <v>33.95535814685709</v>
      </c>
      <c r="E9" s="374">
        <v>35800</v>
      </c>
      <c r="F9" s="376">
        <v>26325</v>
      </c>
      <c r="G9" s="205">
        <v>5</v>
      </c>
      <c r="H9" s="375">
        <v>73000</v>
      </c>
      <c r="I9" s="384">
        <v>70437</v>
      </c>
      <c r="J9" s="205">
        <v>14.713138582899884</v>
      </c>
      <c r="K9" s="381">
        <f t="shared" si="0"/>
        <v>1331.6999999999998</v>
      </c>
      <c r="L9" s="385">
        <v>1158</v>
      </c>
      <c r="M9" s="383">
        <f t="shared" si="1"/>
        <v>0.1499999999999999</v>
      </c>
      <c r="N9" s="386"/>
      <c r="O9" s="386"/>
      <c r="P9" s="205"/>
    </row>
    <row r="10" spans="1:16" s="366" customFormat="1" ht="19.5" customHeight="1">
      <c r="A10" s="203" t="s">
        <v>900</v>
      </c>
      <c r="B10" s="374">
        <v>4910.2</v>
      </c>
      <c r="C10" s="374">
        <v>5033</v>
      </c>
      <c r="D10" s="205">
        <v>21.96224540486835</v>
      </c>
      <c r="E10" s="374">
        <v>13644</v>
      </c>
      <c r="F10" s="376">
        <v>15940</v>
      </c>
      <c r="G10" s="205">
        <v>5</v>
      </c>
      <c r="H10" s="375">
        <v>9700</v>
      </c>
      <c r="I10" s="384">
        <v>9271</v>
      </c>
      <c r="J10" s="205">
        <v>13.172325282930814</v>
      </c>
      <c r="K10" s="381">
        <f t="shared" si="0"/>
        <v>173.64999999999998</v>
      </c>
      <c r="L10" s="385">
        <v>151</v>
      </c>
      <c r="M10" s="383">
        <f t="shared" si="1"/>
        <v>0.1499999999999999</v>
      </c>
      <c r="N10" s="386"/>
      <c r="O10" s="386"/>
      <c r="P10" s="205"/>
    </row>
    <row r="11" spans="1:16" s="366" customFormat="1" ht="19.5" customHeight="1">
      <c r="A11" s="203" t="s">
        <v>901</v>
      </c>
      <c r="B11" s="374">
        <v>40.8</v>
      </c>
      <c r="C11" s="374">
        <v>67.6</v>
      </c>
      <c r="D11" s="205">
        <v>-39.64497041420118</v>
      </c>
      <c r="E11" s="374"/>
      <c r="F11" s="376"/>
      <c r="G11" s="205">
        <v>0</v>
      </c>
      <c r="H11" s="375"/>
      <c r="I11" s="384">
        <v>1</v>
      </c>
      <c r="J11" s="205">
        <v>-100</v>
      </c>
      <c r="K11" s="381">
        <f t="shared" si="0"/>
        <v>12.649999999999999</v>
      </c>
      <c r="L11" s="385">
        <v>11</v>
      </c>
      <c r="M11" s="383">
        <f t="shared" si="1"/>
        <v>0.1499999999999999</v>
      </c>
      <c r="N11" s="387"/>
      <c r="O11" s="386"/>
      <c r="P11" s="205"/>
    </row>
    <row r="12" spans="1:16" s="366" customFormat="1" ht="19.5" customHeight="1">
      <c r="A12" s="203" t="s">
        <v>902</v>
      </c>
      <c r="B12" s="374">
        <v>13892.6</v>
      </c>
      <c r="C12" s="374">
        <v>12768.5</v>
      </c>
      <c r="D12" s="205">
        <v>8.803696597094412</v>
      </c>
      <c r="E12" s="374">
        <v>20050</v>
      </c>
      <c r="F12" s="376">
        <v>20050</v>
      </c>
      <c r="G12" s="205">
        <v>0</v>
      </c>
      <c r="H12" s="375">
        <v>25000</v>
      </c>
      <c r="I12" s="384">
        <v>21277</v>
      </c>
      <c r="J12" s="205">
        <v>17.497767542416696</v>
      </c>
      <c r="K12" s="381">
        <f t="shared" si="0"/>
        <v>1474.3</v>
      </c>
      <c r="L12" s="385">
        <v>1282</v>
      </c>
      <c r="M12" s="383">
        <f t="shared" si="1"/>
        <v>0.1499999999999999</v>
      </c>
      <c r="N12" s="386"/>
      <c r="O12" s="386"/>
      <c r="P12" s="205"/>
    </row>
    <row r="13" spans="1:16" s="366" customFormat="1" ht="19.5" customHeight="1">
      <c r="A13" s="203" t="s">
        <v>903</v>
      </c>
      <c r="B13" s="374">
        <v>2219</v>
      </c>
      <c r="C13" s="374">
        <v>2005.5</v>
      </c>
      <c r="D13" s="205">
        <v>10.645724258289713</v>
      </c>
      <c r="E13" s="374">
        <v>3400</v>
      </c>
      <c r="F13" s="376">
        <v>3151</v>
      </c>
      <c r="G13" s="205">
        <v>8</v>
      </c>
      <c r="H13" s="375">
        <v>6300</v>
      </c>
      <c r="I13" s="384">
        <v>5463</v>
      </c>
      <c r="J13" s="205">
        <v>15.32125205930807</v>
      </c>
      <c r="K13" s="381">
        <f t="shared" si="0"/>
        <v>325.45</v>
      </c>
      <c r="L13" s="385">
        <v>283</v>
      </c>
      <c r="M13" s="383">
        <f t="shared" si="1"/>
        <v>0.1499999999999999</v>
      </c>
      <c r="N13" s="386"/>
      <c r="O13" s="386"/>
      <c r="P13" s="205"/>
    </row>
    <row r="14" spans="1:16" s="366" customFormat="1" ht="19.5" customHeight="1">
      <c r="A14" s="203" t="s">
        <v>904</v>
      </c>
      <c r="B14" s="374">
        <v>1823.5</v>
      </c>
      <c r="C14" s="374">
        <v>1861</v>
      </c>
      <c r="D14" s="205">
        <v>-2.0150456743686207</v>
      </c>
      <c r="E14" s="374">
        <v>2563</v>
      </c>
      <c r="F14" s="376">
        <v>2396</v>
      </c>
      <c r="G14" s="205">
        <v>7</v>
      </c>
      <c r="H14" s="375">
        <v>2600</v>
      </c>
      <c r="I14" s="384">
        <v>2229</v>
      </c>
      <c r="J14" s="205">
        <v>16.644235082996857</v>
      </c>
      <c r="K14" s="381">
        <f t="shared" si="0"/>
        <v>89.69999999999999</v>
      </c>
      <c r="L14" s="385">
        <v>78</v>
      </c>
      <c r="M14" s="383">
        <f t="shared" si="1"/>
        <v>0.1499999999999999</v>
      </c>
      <c r="N14" s="386"/>
      <c r="O14" s="386"/>
      <c r="P14" s="205"/>
    </row>
    <row r="15" spans="1:16" s="366" customFormat="1" ht="19.5" customHeight="1">
      <c r="A15" s="203" t="s">
        <v>905</v>
      </c>
      <c r="B15" s="374">
        <v>3596.4</v>
      </c>
      <c r="C15" s="374">
        <v>3125.3</v>
      </c>
      <c r="D15" s="205">
        <v>15.073752919719707</v>
      </c>
      <c r="E15" s="374">
        <v>3840</v>
      </c>
      <c r="F15" s="376">
        <v>3582</v>
      </c>
      <c r="G15" s="205">
        <v>7</v>
      </c>
      <c r="H15" s="375">
        <v>3600</v>
      </c>
      <c r="I15" s="384">
        <v>3132</v>
      </c>
      <c r="J15" s="205">
        <v>14.942528735632186</v>
      </c>
      <c r="K15" s="381">
        <f t="shared" si="0"/>
        <v>459.99999999999994</v>
      </c>
      <c r="L15" s="385">
        <v>400</v>
      </c>
      <c r="M15" s="383">
        <f t="shared" si="1"/>
        <v>0.1499999999999999</v>
      </c>
      <c r="N15" s="386"/>
      <c r="O15" s="386"/>
      <c r="P15" s="205"/>
    </row>
    <row r="16" spans="1:16" s="366" customFormat="1" ht="19.5" customHeight="1">
      <c r="A16" s="203" t="s">
        <v>906</v>
      </c>
      <c r="B16" s="374">
        <v>5080.3</v>
      </c>
      <c r="C16" s="374">
        <v>4630</v>
      </c>
      <c r="D16" s="205">
        <v>9.7257019438445</v>
      </c>
      <c r="E16" s="374">
        <v>10600</v>
      </c>
      <c r="F16" s="376">
        <v>9916</v>
      </c>
      <c r="G16" s="205">
        <v>7</v>
      </c>
      <c r="H16" s="375">
        <v>47000</v>
      </c>
      <c r="I16" s="384">
        <v>40440</v>
      </c>
      <c r="J16" s="205">
        <v>16.2215628090999</v>
      </c>
      <c r="K16" s="381">
        <f t="shared" si="0"/>
        <v>228.85</v>
      </c>
      <c r="L16" s="385">
        <v>199</v>
      </c>
      <c r="M16" s="383">
        <f t="shared" si="1"/>
        <v>0.1499999999999999</v>
      </c>
      <c r="N16" s="386"/>
      <c r="O16" s="386"/>
      <c r="P16" s="205"/>
    </row>
    <row r="17" spans="1:16" s="366" customFormat="1" ht="19.5" customHeight="1">
      <c r="A17" s="203" t="s">
        <v>907</v>
      </c>
      <c r="B17" s="374">
        <v>0</v>
      </c>
      <c r="C17" s="374">
        <v>0</v>
      </c>
      <c r="D17" s="205">
        <v>0</v>
      </c>
      <c r="E17" s="374"/>
      <c r="F17" s="376"/>
      <c r="G17" s="205">
        <v>0</v>
      </c>
      <c r="H17" s="375"/>
      <c r="I17" s="384"/>
      <c r="J17" s="205"/>
      <c r="K17" s="381"/>
      <c r="L17" s="385"/>
      <c r="M17" s="383"/>
      <c r="N17" s="386"/>
      <c r="O17" s="386"/>
      <c r="P17" s="205"/>
    </row>
    <row r="18" spans="1:16" s="366" customFormat="1" ht="19.5" customHeight="1">
      <c r="A18" s="203" t="s">
        <v>106</v>
      </c>
      <c r="B18" s="374">
        <v>6398</v>
      </c>
      <c r="C18" s="374">
        <v>331.7</v>
      </c>
      <c r="D18" s="205">
        <v>1828.851371721435</v>
      </c>
      <c r="E18" s="374">
        <v>2405</v>
      </c>
      <c r="F18" s="376">
        <v>378</v>
      </c>
      <c r="G18" s="205">
        <v>600</v>
      </c>
      <c r="H18" s="375">
        <v>25000</v>
      </c>
      <c r="I18" s="384">
        <v>3173</v>
      </c>
      <c r="J18" s="205">
        <v>687.897888433659</v>
      </c>
      <c r="K18" s="381">
        <f aca="true" t="shared" si="2" ref="K18:K24">L18*1.15</f>
        <v>2413.85</v>
      </c>
      <c r="L18" s="385">
        <v>2099</v>
      </c>
      <c r="M18" s="383">
        <f aca="true" t="shared" si="3" ref="M18:M24">K18/L18-1</f>
        <v>0.1499999999999999</v>
      </c>
      <c r="N18" s="386"/>
      <c r="O18" s="386"/>
      <c r="P18" s="205"/>
    </row>
    <row r="19" spans="1:16" s="366" customFormat="1" ht="19.5" customHeight="1">
      <c r="A19" s="203" t="s">
        <v>908</v>
      </c>
      <c r="B19" s="374">
        <v>23076</v>
      </c>
      <c r="C19" s="374">
        <v>22157.8</v>
      </c>
      <c r="D19" s="205">
        <v>4.143913204379501</v>
      </c>
      <c r="E19" s="374">
        <v>31000</v>
      </c>
      <c r="F19" s="376">
        <v>37620</v>
      </c>
      <c r="G19" s="205">
        <v>-17.6</v>
      </c>
      <c r="H19" s="375">
        <v>76000</v>
      </c>
      <c r="I19" s="384">
        <v>72452</v>
      </c>
      <c r="J19" s="205">
        <v>4.897035278529233</v>
      </c>
      <c r="K19" s="381">
        <f t="shared" si="2"/>
        <v>469.2</v>
      </c>
      <c r="L19" s="385">
        <v>408</v>
      </c>
      <c r="M19" s="383">
        <f t="shared" si="3"/>
        <v>0.1499999999999999</v>
      </c>
      <c r="N19" s="386"/>
      <c r="O19" s="386"/>
      <c r="P19" s="205"/>
    </row>
    <row r="20" spans="1:16" s="366" customFormat="1" ht="19.5" customHeight="1">
      <c r="A20" s="203" t="s">
        <v>909</v>
      </c>
      <c r="B20" s="374">
        <v>0</v>
      </c>
      <c r="C20" s="374">
        <v>0</v>
      </c>
      <c r="D20" s="205">
        <v>0</v>
      </c>
      <c r="E20" s="374"/>
      <c r="F20" s="376"/>
      <c r="G20" s="205"/>
      <c r="H20" s="375"/>
      <c r="I20" s="384"/>
      <c r="J20" s="205"/>
      <c r="K20" s="381"/>
      <c r="L20" s="385"/>
      <c r="M20" s="383"/>
      <c r="N20" s="386"/>
      <c r="O20" s="386"/>
      <c r="P20" s="205"/>
    </row>
    <row r="21" spans="1:16" s="366" customFormat="1" ht="19.5" customHeight="1">
      <c r="A21" s="203" t="s">
        <v>42</v>
      </c>
      <c r="B21" s="374">
        <v>24820</v>
      </c>
      <c r="C21" s="374">
        <v>26329.5</v>
      </c>
      <c r="D21" s="205">
        <v>-5.733113048101934</v>
      </c>
      <c r="E21" s="374">
        <v>24971</v>
      </c>
      <c r="F21" s="374">
        <v>11927</v>
      </c>
      <c r="G21" s="205">
        <v>10.1</v>
      </c>
      <c r="H21" s="375">
        <v>6800</v>
      </c>
      <c r="I21" s="375">
        <v>20698</v>
      </c>
      <c r="J21" s="205">
        <v>-67.14658421103489</v>
      </c>
      <c r="K21" s="381">
        <f t="shared" si="2"/>
        <v>3929.5499999999997</v>
      </c>
      <c r="L21" s="382">
        <v>3417</v>
      </c>
      <c r="M21" s="383">
        <f t="shared" si="3"/>
        <v>0.1499999999999999</v>
      </c>
      <c r="N21" s="381"/>
      <c r="O21" s="381"/>
      <c r="P21" s="205"/>
    </row>
    <row r="22" spans="1:16" s="366" customFormat="1" ht="19.5" customHeight="1">
      <c r="A22" s="210" t="s">
        <v>910</v>
      </c>
      <c r="B22" s="374">
        <v>4320</v>
      </c>
      <c r="C22" s="374">
        <v>4241.4</v>
      </c>
      <c r="D22" s="205">
        <v>1.8531616918942007</v>
      </c>
      <c r="E22" s="374">
        <v>4876</v>
      </c>
      <c r="F22" s="376">
        <v>4557</v>
      </c>
      <c r="G22" s="205">
        <v>12.6</v>
      </c>
      <c r="H22" s="375">
        <v>5000</v>
      </c>
      <c r="I22" s="384">
        <v>17466</v>
      </c>
      <c r="J22" s="205">
        <v>-71.37295316615138</v>
      </c>
      <c r="K22" s="381">
        <f t="shared" si="2"/>
        <v>315.09999999999997</v>
      </c>
      <c r="L22" s="388">
        <v>274</v>
      </c>
      <c r="M22" s="383">
        <f t="shared" si="3"/>
        <v>0.1499999999999999</v>
      </c>
      <c r="N22" s="389"/>
      <c r="O22" s="389"/>
      <c r="P22" s="205"/>
    </row>
    <row r="23" spans="1:16" s="366" customFormat="1" ht="19.5" customHeight="1">
      <c r="A23" s="210" t="s">
        <v>911</v>
      </c>
      <c r="B23" s="374">
        <v>16700</v>
      </c>
      <c r="C23" s="374">
        <v>16866</v>
      </c>
      <c r="D23" s="205">
        <v>-0.9842286256373733</v>
      </c>
      <c r="E23" s="374">
        <v>17199</v>
      </c>
      <c r="F23" s="376">
        <v>5298</v>
      </c>
      <c r="G23" s="205">
        <v>124.6</v>
      </c>
      <c r="H23" s="375">
        <v>300</v>
      </c>
      <c r="I23" s="384">
        <v>229</v>
      </c>
      <c r="J23" s="205">
        <v>31.004366812227076</v>
      </c>
      <c r="K23" s="381">
        <f t="shared" si="2"/>
        <v>1738.8</v>
      </c>
      <c r="L23" s="385">
        <v>1512</v>
      </c>
      <c r="M23" s="383">
        <f t="shared" si="3"/>
        <v>0.1499999999999999</v>
      </c>
      <c r="N23" s="386"/>
      <c r="O23" s="386"/>
      <c r="P23" s="205"/>
    </row>
    <row r="24" spans="1:16" s="366" customFormat="1" ht="19.5" customHeight="1">
      <c r="A24" s="210" t="s">
        <v>912</v>
      </c>
      <c r="B24" s="374">
        <v>1100</v>
      </c>
      <c r="C24" s="374">
        <v>84.3</v>
      </c>
      <c r="D24" s="205">
        <v>1204.8635824436535</v>
      </c>
      <c r="E24" s="374">
        <v>561</v>
      </c>
      <c r="F24" s="376">
        <v>5</v>
      </c>
      <c r="G24" s="205">
        <v>111</v>
      </c>
      <c r="H24" s="375">
        <v>1000</v>
      </c>
      <c r="I24" s="384">
        <v>931</v>
      </c>
      <c r="J24" s="205">
        <v>7.411385606874328</v>
      </c>
      <c r="K24" s="381">
        <f t="shared" si="2"/>
        <v>72.44999999999999</v>
      </c>
      <c r="L24" s="385">
        <v>63</v>
      </c>
      <c r="M24" s="383">
        <f t="shared" si="3"/>
        <v>0.1499999999999999</v>
      </c>
      <c r="N24" s="386"/>
      <c r="O24" s="386"/>
      <c r="P24" s="205"/>
    </row>
    <row r="25" spans="1:16" s="366" customFormat="1" ht="19.5" customHeight="1">
      <c r="A25" s="210" t="s">
        <v>913</v>
      </c>
      <c r="B25" s="374">
        <v>0</v>
      </c>
      <c r="C25" s="374">
        <v>66</v>
      </c>
      <c r="D25" s="205">
        <v>-100</v>
      </c>
      <c r="E25" s="374"/>
      <c r="F25" s="376"/>
      <c r="G25" s="205"/>
      <c r="H25" s="375"/>
      <c r="I25" s="384"/>
      <c r="J25" s="205"/>
      <c r="K25" s="381"/>
      <c r="L25" s="385"/>
      <c r="M25" s="383"/>
      <c r="N25" s="386"/>
      <c r="O25" s="386"/>
      <c r="P25" s="205"/>
    </row>
    <row r="26" spans="1:16" s="366" customFormat="1" ht="19.5" customHeight="1">
      <c r="A26" s="210" t="s">
        <v>914</v>
      </c>
      <c r="B26" s="374">
        <v>2700</v>
      </c>
      <c r="C26" s="374">
        <v>5067.8</v>
      </c>
      <c r="D26" s="205">
        <v>-46.72244366391728</v>
      </c>
      <c r="E26" s="374">
        <v>1210</v>
      </c>
      <c r="F26" s="376">
        <v>1015</v>
      </c>
      <c r="G26" s="205">
        <v>19.21</v>
      </c>
      <c r="H26" s="375">
        <v>500</v>
      </c>
      <c r="I26" s="384">
        <v>2072</v>
      </c>
      <c r="J26" s="205">
        <v>-75.86872586872587</v>
      </c>
      <c r="K26" s="381">
        <f>L26*1.15</f>
        <v>1803.1999999999998</v>
      </c>
      <c r="L26" s="385">
        <v>1568</v>
      </c>
      <c r="M26" s="383">
        <f>K26/L26-1</f>
        <v>0.1499999999999999</v>
      </c>
      <c r="N26" s="386"/>
      <c r="O26" s="386"/>
      <c r="P26" s="205"/>
    </row>
    <row r="27" spans="1:16" s="366" customFormat="1" ht="19.5" customHeight="1">
      <c r="A27" s="210" t="s">
        <v>915</v>
      </c>
      <c r="B27" s="374">
        <v>0</v>
      </c>
      <c r="C27" s="374">
        <v>4</v>
      </c>
      <c r="D27" s="205">
        <v>-100</v>
      </c>
      <c r="E27" s="374">
        <v>1125</v>
      </c>
      <c r="F27" s="376">
        <v>1052</v>
      </c>
      <c r="G27" s="205">
        <v>7</v>
      </c>
      <c r="H27" s="375"/>
      <c r="I27" s="384"/>
      <c r="J27" s="205"/>
      <c r="K27" s="381"/>
      <c r="L27" s="385"/>
      <c r="M27" s="383"/>
      <c r="N27" s="387"/>
      <c r="O27" s="386"/>
      <c r="P27" s="205"/>
    </row>
    <row r="28" spans="1:16" s="366" customFormat="1" ht="19.5" customHeight="1">
      <c r="A28" s="377" t="s">
        <v>56</v>
      </c>
      <c r="B28" s="374">
        <v>149344</v>
      </c>
      <c r="C28" s="374">
        <v>168385.7</v>
      </c>
      <c r="D28" s="205">
        <v>11.47911520767597</v>
      </c>
      <c r="E28" s="374">
        <v>215000</v>
      </c>
      <c r="F28" s="374">
        <v>212248</v>
      </c>
      <c r="G28" s="205">
        <v>10</v>
      </c>
      <c r="H28" s="375">
        <v>345000</v>
      </c>
      <c r="I28" s="375">
        <v>356332</v>
      </c>
      <c r="J28" s="205">
        <v>7.010921317506057</v>
      </c>
      <c r="K28" s="381">
        <f>L28*1.15</f>
        <v>16978.6</v>
      </c>
      <c r="L28" s="382">
        <v>14764</v>
      </c>
      <c r="M28" s="383">
        <f>K28/L28-1</f>
        <v>0.1499999999999999</v>
      </c>
      <c r="N28" s="381"/>
      <c r="O28" s="381"/>
      <c r="P28" s="205"/>
    </row>
  </sheetData>
  <sheetProtection/>
  <autoFilter ref="A5:P28"/>
  <mergeCells count="8">
    <mergeCell ref="A2:P2"/>
    <mergeCell ref="I3:J3"/>
    <mergeCell ref="B4:D4"/>
    <mergeCell ref="E4:G4"/>
    <mergeCell ref="H4:J4"/>
    <mergeCell ref="K4:M4"/>
    <mergeCell ref="N4:P4"/>
    <mergeCell ref="A4:A5"/>
  </mergeCells>
  <printOptions horizontalCentered="1" verticalCentered="1"/>
  <pageMargins left="0.44" right="0.36" top="0.67" bottom="0.56" header="0.28" footer="0.34"/>
  <pageSetup horizontalDpi="600" verticalDpi="600" orientation="landscape" paperSize="9" scale="85"/>
  <headerFooter scaleWithDoc="0" alignWithMargins="0">
    <oddFooter>&amp;C—&amp;P+30—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0"/>
  </sheetPr>
  <dimension ref="A1:S455"/>
  <sheetViews>
    <sheetView showZeros="0" zoomScale="115" zoomScaleNormal="115" workbookViewId="0" topLeftCell="A1">
      <pane xSplit="1" ySplit="5" topLeftCell="D435" activePane="bottomRight" state="frozen"/>
      <selection pane="bottomRight" activeCell="H6" sqref="H6:I452"/>
    </sheetView>
  </sheetViews>
  <sheetFormatPr defaultColWidth="9.00390625" defaultRowHeight="14.25"/>
  <cols>
    <col min="1" max="1" width="41.125" style="315" customWidth="1"/>
    <col min="2" max="3" width="11.625" style="316" customWidth="1"/>
    <col min="4" max="4" width="11.625" style="317" customWidth="1"/>
    <col min="5" max="6" width="11.625" style="316" customWidth="1"/>
    <col min="7" max="8" width="11.625" style="317" customWidth="1"/>
    <col min="9" max="9" width="11.625" style="316" customWidth="1"/>
    <col min="10" max="10" width="11.625" style="317" customWidth="1"/>
    <col min="11" max="11" width="8.25390625" style="318" hidden="1" customWidth="1"/>
    <col min="12" max="12" width="8.375" style="318" hidden="1" customWidth="1"/>
    <col min="13" max="13" width="8.25390625" style="318" hidden="1" customWidth="1"/>
    <col min="14" max="14" width="7.50390625" style="319" hidden="1" customWidth="1"/>
    <col min="15" max="15" width="8.125" style="319" hidden="1" customWidth="1"/>
    <col min="16" max="16" width="8.25390625" style="319" hidden="1" customWidth="1"/>
    <col min="17" max="18" width="11.625" style="318" hidden="1" customWidth="1"/>
    <col min="19" max="19" width="11.625" style="320" hidden="1" customWidth="1"/>
    <col min="20" max="16384" width="9.00390625" style="319" customWidth="1"/>
  </cols>
  <sheetData>
    <row r="1" ht="21.75" customHeight="1">
      <c r="A1" s="321" t="s">
        <v>916</v>
      </c>
    </row>
    <row r="2" spans="1:19" ht="20.25" customHeight="1">
      <c r="A2" s="322" t="s">
        <v>917</v>
      </c>
      <c r="B2" s="322"/>
      <c r="C2" s="322"/>
      <c r="D2" s="322"/>
      <c r="E2" s="322"/>
      <c r="F2" s="322"/>
      <c r="G2" s="322"/>
      <c r="H2" s="322"/>
      <c r="I2" s="322"/>
      <c r="J2" s="322"/>
      <c r="K2" s="322"/>
      <c r="L2" s="322"/>
      <c r="M2" s="322"/>
      <c r="N2" s="322"/>
      <c r="O2" s="322"/>
      <c r="P2" s="322"/>
      <c r="Q2" s="322"/>
      <c r="R2" s="322"/>
      <c r="S2" s="343"/>
    </row>
    <row r="3" spans="1:13" ht="12" customHeight="1">
      <c r="A3" s="323"/>
      <c r="J3" s="338" t="s">
        <v>6</v>
      </c>
      <c r="M3" s="339"/>
    </row>
    <row r="4" spans="1:19" s="313" customFormat="1" ht="14.25" customHeight="1">
      <c r="A4" s="324" t="s">
        <v>11</v>
      </c>
      <c r="B4" s="325" t="s">
        <v>87</v>
      </c>
      <c r="C4" s="326"/>
      <c r="D4" s="327"/>
      <c r="E4" s="325" t="s">
        <v>88</v>
      </c>
      <c r="F4" s="326"/>
      <c r="G4" s="328"/>
      <c r="H4" s="326"/>
      <c r="I4" s="325" t="s">
        <v>89</v>
      </c>
      <c r="J4" s="328"/>
      <c r="K4" s="325" t="s">
        <v>918</v>
      </c>
      <c r="L4" s="326"/>
      <c r="M4" s="328"/>
      <c r="N4" s="324" t="s">
        <v>892</v>
      </c>
      <c r="O4" s="324"/>
      <c r="P4" s="324"/>
      <c r="Q4" s="325" t="s">
        <v>919</v>
      </c>
      <c r="R4" s="326"/>
      <c r="S4" s="327"/>
    </row>
    <row r="5" spans="1:19" s="313" customFormat="1" ht="24" customHeight="1">
      <c r="A5" s="324"/>
      <c r="B5" s="329" t="s">
        <v>93</v>
      </c>
      <c r="C5" s="329" t="s">
        <v>118</v>
      </c>
      <c r="D5" s="330" t="s">
        <v>120</v>
      </c>
      <c r="E5" s="329" t="s">
        <v>93</v>
      </c>
      <c r="F5" s="329" t="s">
        <v>118</v>
      </c>
      <c r="G5" s="330" t="s">
        <v>120</v>
      </c>
      <c r="H5" s="329" t="s">
        <v>93</v>
      </c>
      <c r="I5" s="329" t="s">
        <v>118</v>
      </c>
      <c r="J5" s="330" t="s">
        <v>120</v>
      </c>
      <c r="K5" s="340" t="s">
        <v>920</v>
      </c>
      <c r="L5" s="340" t="s">
        <v>921</v>
      </c>
      <c r="M5" s="340" t="s">
        <v>922</v>
      </c>
      <c r="N5" s="340" t="s">
        <v>920</v>
      </c>
      <c r="O5" s="340" t="s">
        <v>921</v>
      </c>
      <c r="P5" s="340" t="s">
        <v>922</v>
      </c>
      <c r="Q5" s="340" t="s">
        <v>920</v>
      </c>
      <c r="R5" s="340" t="s">
        <v>921</v>
      </c>
      <c r="S5" s="344" t="s">
        <v>922</v>
      </c>
    </row>
    <row r="6" spans="1:19" s="313" customFormat="1" ht="12.75" customHeight="1">
      <c r="A6" s="331" t="s">
        <v>13</v>
      </c>
      <c r="B6" s="332">
        <v>29936.4</v>
      </c>
      <c r="C6" s="332">
        <v>21367</v>
      </c>
      <c r="D6" s="333">
        <f>B6/C6*100-100</f>
        <v>40.10577058080219</v>
      </c>
      <c r="E6" s="334">
        <v>32311</v>
      </c>
      <c r="F6" s="334">
        <v>23749</v>
      </c>
      <c r="G6" s="335">
        <v>36.05204429660196</v>
      </c>
      <c r="H6" s="336">
        <f>SUM(H12,H18,H24,H30,H38,H43,H70,H101)</f>
        <v>38580</v>
      </c>
      <c r="I6" s="336">
        <v>23930</v>
      </c>
      <c r="J6" s="335">
        <f>H6/I6*100-100</f>
        <v>61.22022565816968</v>
      </c>
      <c r="K6" s="341">
        <v>2427</v>
      </c>
      <c r="L6" s="341">
        <v>2697</v>
      </c>
      <c r="M6" s="336"/>
      <c r="N6" s="336"/>
      <c r="O6" s="336"/>
      <c r="P6" s="336"/>
      <c r="Q6" s="332">
        <v>18940</v>
      </c>
      <c r="R6" s="345">
        <v>14749</v>
      </c>
      <c r="S6" s="346">
        <f>Q6/R6*100-100</f>
        <v>28.415485795647157</v>
      </c>
    </row>
    <row r="7" spans="1:19" s="313" customFormat="1" ht="12.75" customHeight="1">
      <c r="A7" s="337" t="s">
        <v>923</v>
      </c>
      <c r="B7" s="332">
        <v>11</v>
      </c>
      <c r="C7" s="332">
        <v>20</v>
      </c>
      <c r="D7" s="333">
        <f aca="true" t="shared" si="0" ref="D7:D70">B7/C7*100-100</f>
        <v>-44.99999999999999</v>
      </c>
      <c r="E7" s="329">
        <v>50</v>
      </c>
      <c r="F7" s="329">
        <v>33</v>
      </c>
      <c r="G7" s="335">
        <v>51.515151515151516</v>
      </c>
      <c r="H7" s="336"/>
      <c r="I7" s="336"/>
      <c r="J7" s="335"/>
      <c r="K7" s="342"/>
      <c r="L7" s="342"/>
      <c r="M7" s="336"/>
      <c r="N7" s="336"/>
      <c r="O7" s="336"/>
      <c r="P7" s="336"/>
      <c r="Q7" s="342">
        <v>20</v>
      </c>
      <c r="R7" s="345"/>
      <c r="S7" s="345"/>
    </row>
    <row r="8" spans="1:19" s="313" customFormat="1" ht="12.75" customHeight="1">
      <c r="A8" s="337" t="s">
        <v>924</v>
      </c>
      <c r="B8" s="332">
        <v>11</v>
      </c>
      <c r="C8" s="332">
        <v>20</v>
      </c>
      <c r="D8" s="333">
        <f t="shared" si="0"/>
        <v>-44.99999999999999</v>
      </c>
      <c r="E8" s="334"/>
      <c r="F8" s="334"/>
      <c r="G8" s="335"/>
      <c r="H8" s="336"/>
      <c r="I8" s="336"/>
      <c r="J8" s="335"/>
      <c r="K8" s="342"/>
      <c r="L8" s="342"/>
      <c r="M8" s="336"/>
      <c r="N8" s="336"/>
      <c r="O8" s="336"/>
      <c r="P8" s="336"/>
      <c r="Q8" s="342">
        <v>20</v>
      </c>
      <c r="R8" s="345"/>
      <c r="S8" s="345"/>
    </row>
    <row r="9" spans="1:19" s="313" customFormat="1" ht="12.75" customHeight="1">
      <c r="A9" s="337" t="s">
        <v>925</v>
      </c>
      <c r="B9" s="332">
        <v>0</v>
      </c>
      <c r="C9" s="332">
        <v>0</v>
      </c>
      <c r="D9" s="333"/>
      <c r="E9" s="329">
        <v>50</v>
      </c>
      <c r="F9" s="329">
        <v>33</v>
      </c>
      <c r="G9" s="335">
        <v>51.515151515151516</v>
      </c>
      <c r="H9" s="336"/>
      <c r="I9" s="336"/>
      <c r="J9" s="335"/>
      <c r="K9" s="342"/>
      <c r="L9" s="342"/>
      <c r="M9" s="336"/>
      <c r="N9" s="336"/>
      <c r="O9" s="336"/>
      <c r="P9" s="336"/>
      <c r="Q9" s="342"/>
      <c r="R9" s="345"/>
      <c r="S9" s="345"/>
    </row>
    <row r="10" spans="1:19" s="313" customFormat="1" ht="12.75" customHeight="1">
      <c r="A10" s="337" t="s">
        <v>926</v>
      </c>
      <c r="B10" s="332">
        <v>0</v>
      </c>
      <c r="C10" s="332">
        <v>3</v>
      </c>
      <c r="D10" s="333">
        <f t="shared" si="0"/>
        <v>-100</v>
      </c>
      <c r="E10" s="334"/>
      <c r="F10" s="334"/>
      <c r="G10" s="335"/>
      <c r="H10" s="336"/>
      <c r="I10" s="336"/>
      <c r="J10" s="335"/>
      <c r="K10" s="342"/>
      <c r="L10" s="342"/>
      <c r="M10" s="336"/>
      <c r="N10" s="336"/>
      <c r="O10" s="336"/>
      <c r="P10" s="336"/>
      <c r="Q10" s="342">
        <v>3</v>
      </c>
      <c r="R10" s="345"/>
      <c r="S10" s="345"/>
    </row>
    <row r="11" spans="1:19" s="313" customFormat="1" ht="13.5" customHeight="1">
      <c r="A11" s="337" t="s">
        <v>924</v>
      </c>
      <c r="B11" s="332">
        <v>0</v>
      </c>
      <c r="C11" s="332">
        <v>3</v>
      </c>
      <c r="D11" s="333">
        <f t="shared" si="0"/>
        <v>-100</v>
      </c>
      <c r="E11" s="334"/>
      <c r="F11" s="334"/>
      <c r="G11" s="335"/>
      <c r="H11" s="336"/>
      <c r="I11" s="336"/>
      <c r="J11" s="335"/>
      <c r="K11" s="342"/>
      <c r="L11" s="342"/>
      <c r="M11" s="336"/>
      <c r="N11" s="336"/>
      <c r="O11" s="336"/>
      <c r="P11" s="336"/>
      <c r="Q11" s="342">
        <v>3</v>
      </c>
      <c r="R11" s="345"/>
      <c r="S11" s="345"/>
    </row>
    <row r="12" spans="1:19" s="313" customFormat="1" ht="12.75" customHeight="1">
      <c r="A12" s="337" t="s">
        <v>927</v>
      </c>
      <c r="B12" s="332">
        <v>18520.5</v>
      </c>
      <c r="C12" s="332">
        <v>9608</v>
      </c>
      <c r="D12" s="333">
        <f t="shared" si="0"/>
        <v>92.761240632806</v>
      </c>
      <c r="E12" s="329">
        <v>18780</v>
      </c>
      <c r="F12" s="329">
        <v>16276</v>
      </c>
      <c r="G12" s="335">
        <v>15.384615384615385</v>
      </c>
      <c r="H12" s="336">
        <v>32000</v>
      </c>
      <c r="I12" s="336">
        <v>19000</v>
      </c>
      <c r="J12" s="335">
        <f>H12/I12*100-100</f>
        <v>68.42105263157893</v>
      </c>
      <c r="K12" s="342"/>
      <c r="L12" s="342"/>
      <c r="M12" s="336"/>
      <c r="N12" s="336"/>
      <c r="O12" s="336"/>
      <c r="P12" s="336"/>
      <c r="Q12" s="342">
        <v>9608</v>
      </c>
      <c r="R12" s="345">
        <v>8874</v>
      </c>
      <c r="S12" s="333">
        <f aca="true" t="shared" si="1" ref="S12:S18">Q12/R12*100-100</f>
        <v>8.271354518819024</v>
      </c>
    </row>
    <row r="13" spans="1:19" s="313" customFormat="1" ht="12.75" customHeight="1">
      <c r="A13" s="337" t="s">
        <v>928</v>
      </c>
      <c r="B13" s="332">
        <v>12878.5</v>
      </c>
      <c r="C13" s="332">
        <v>6404</v>
      </c>
      <c r="D13" s="333">
        <f t="shared" si="0"/>
        <v>101.10087445346659</v>
      </c>
      <c r="E13" s="329">
        <v>15000</v>
      </c>
      <c r="F13" s="329">
        <v>12652</v>
      </c>
      <c r="G13" s="335">
        <v>18.558330698703763</v>
      </c>
      <c r="H13" s="336">
        <v>25000</v>
      </c>
      <c r="I13" s="336">
        <v>19000</v>
      </c>
      <c r="J13" s="335">
        <f>H13/I13*100-100</f>
        <v>31.57894736842107</v>
      </c>
      <c r="K13" s="342"/>
      <c r="L13" s="342"/>
      <c r="M13" s="336"/>
      <c r="N13" s="336"/>
      <c r="O13" s="336"/>
      <c r="P13" s="336"/>
      <c r="Q13" s="342">
        <v>6404</v>
      </c>
      <c r="R13" s="345">
        <v>6829</v>
      </c>
      <c r="S13" s="333">
        <f t="shared" si="1"/>
        <v>-6.2234587787377365</v>
      </c>
    </row>
    <row r="14" spans="1:19" s="313" customFormat="1" ht="12.75" customHeight="1">
      <c r="A14" s="337" t="s">
        <v>924</v>
      </c>
      <c r="B14" s="332">
        <v>83</v>
      </c>
      <c r="C14" s="332">
        <v>1699</v>
      </c>
      <c r="D14" s="333">
        <f t="shared" si="0"/>
        <v>-95.11477339611537</v>
      </c>
      <c r="E14" s="329">
        <v>120</v>
      </c>
      <c r="F14" s="329">
        <v>108</v>
      </c>
      <c r="G14" s="335">
        <v>11.11111111111111</v>
      </c>
      <c r="H14" s="336"/>
      <c r="I14" s="336"/>
      <c r="J14" s="335"/>
      <c r="K14" s="341">
        <v>1699</v>
      </c>
      <c r="L14" s="341">
        <v>1888</v>
      </c>
      <c r="M14" s="336"/>
      <c r="N14" s="336"/>
      <c r="O14" s="336"/>
      <c r="P14" s="336"/>
      <c r="Q14" s="342"/>
      <c r="R14" s="345"/>
      <c r="S14" s="345"/>
    </row>
    <row r="15" spans="1:19" s="313" customFormat="1" ht="12.75" customHeight="1">
      <c r="A15" s="337" t="s">
        <v>929</v>
      </c>
      <c r="B15" s="332">
        <v>404</v>
      </c>
      <c r="C15" s="332">
        <v>396</v>
      </c>
      <c r="D15" s="333">
        <f t="shared" si="0"/>
        <v>2.0202020202020066</v>
      </c>
      <c r="E15" s="329">
        <v>2200</v>
      </c>
      <c r="F15" s="329">
        <v>2163</v>
      </c>
      <c r="G15" s="335">
        <v>1.7105871474803513</v>
      </c>
      <c r="H15" s="336"/>
      <c r="I15" s="336"/>
      <c r="J15" s="335"/>
      <c r="K15" s="342"/>
      <c r="L15" s="342"/>
      <c r="M15" s="336"/>
      <c r="N15" s="336"/>
      <c r="O15" s="336"/>
      <c r="P15" s="336"/>
      <c r="Q15" s="342">
        <v>396</v>
      </c>
      <c r="R15" s="345">
        <v>441</v>
      </c>
      <c r="S15" s="333">
        <f t="shared" si="1"/>
        <v>-10.204081632653057</v>
      </c>
    </row>
    <row r="16" spans="1:19" s="313" customFormat="1" ht="12.75" customHeight="1">
      <c r="A16" s="337" t="s">
        <v>930</v>
      </c>
      <c r="B16" s="332">
        <v>191</v>
      </c>
      <c r="C16" s="332">
        <v>159</v>
      </c>
      <c r="D16" s="333">
        <f t="shared" si="0"/>
        <v>20.125786163522008</v>
      </c>
      <c r="E16" s="329">
        <v>260</v>
      </c>
      <c r="F16" s="329">
        <v>253</v>
      </c>
      <c r="G16" s="335">
        <v>2.766798418972332</v>
      </c>
      <c r="H16" s="336"/>
      <c r="I16" s="336"/>
      <c r="J16" s="335"/>
      <c r="K16" s="342"/>
      <c r="L16" s="342"/>
      <c r="M16" s="336"/>
      <c r="N16" s="336"/>
      <c r="O16" s="336"/>
      <c r="P16" s="336"/>
      <c r="Q16" s="342">
        <v>159</v>
      </c>
      <c r="R16" s="345">
        <v>179</v>
      </c>
      <c r="S16" s="333">
        <f t="shared" si="1"/>
        <v>-11.1731843575419</v>
      </c>
    </row>
    <row r="17" spans="1:19" s="313" customFormat="1" ht="12.75" customHeight="1">
      <c r="A17" s="337" t="s">
        <v>931</v>
      </c>
      <c r="B17" s="332">
        <v>4964</v>
      </c>
      <c r="C17" s="332">
        <v>2649</v>
      </c>
      <c r="D17" s="333">
        <f t="shared" si="0"/>
        <v>87.39146847867119</v>
      </c>
      <c r="E17" s="329">
        <v>1200</v>
      </c>
      <c r="F17" s="329">
        <v>1100</v>
      </c>
      <c r="G17" s="335">
        <v>9.090909090909092</v>
      </c>
      <c r="H17" s="336">
        <v>7000</v>
      </c>
      <c r="I17" s="336"/>
      <c r="J17" s="335"/>
      <c r="K17" s="342"/>
      <c r="L17" s="342"/>
      <c r="M17" s="336"/>
      <c r="N17" s="336"/>
      <c r="O17" s="336"/>
      <c r="P17" s="336"/>
      <c r="Q17" s="342">
        <v>2649</v>
      </c>
      <c r="R17" s="345">
        <v>1425</v>
      </c>
      <c r="S17" s="333">
        <f t="shared" si="1"/>
        <v>85.89473684210526</v>
      </c>
    </row>
    <row r="18" spans="1:19" s="313" customFormat="1" ht="11.25">
      <c r="A18" s="337" t="s">
        <v>932</v>
      </c>
      <c r="B18" s="332">
        <v>298</v>
      </c>
      <c r="C18" s="332">
        <v>105</v>
      </c>
      <c r="D18" s="333">
        <f t="shared" si="0"/>
        <v>183.8095238095238</v>
      </c>
      <c r="E18" s="329">
        <v>195</v>
      </c>
      <c r="F18" s="329">
        <v>182</v>
      </c>
      <c r="G18" s="335">
        <v>7.142857142857142</v>
      </c>
      <c r="H18" s="336">
        <v>40</v>
      </c>
      <c r="I18" s="336">
        <v>40</v>
      </c>
      <c r="J18" s="335">
        <f>H18/I18*100-100</f>
        <v>0</v>
      </c>
      <c r="K18" s="341">
        <v>50</v>
      </c>
      <c r="L18" s="341">
        <v>56</v>
      </c>
      <c r="M18" s="336"/>
      <c r="N18" s="336"/>
      <c r="O18" s="336"/>
      <c r="P18" s="336"/>
      <c r="Q18" s="342">
        <v>55</v>
      </c>
      <c r="R18" s="345">
        <v>50</v>
      </c>
      <c r="S18" s="333">
        <f t="shared" si="1"/>
        <v>10.000000000000014</v>
      </c>
    </row>
    <row r="19" spans="1:19" s="313" customFormat="1" ht="11.25">
      <c r="A19" s="337" t="s">
        <v>928</v>
      </c>
      <c r="B19" s="332">
        <v>0</v>
      </c>
      <c r="C19" s="332">
        <v>0</v>
      </c>
      <c r="D19" s="333"/>
      <c r="E19" s="334"/>
      <c r="F19" s="334"/>
      <c r="G19" s="335"/>
      <c r="H19" s="336">
        <v>40</v>
      </c>
      <c r="I19" s="336">
        <v>40</v>
      </c>
      <c r="J19" s="335">
        <f>H19/I19*100-100</f>
        <v>0</v>
      </c>
      <c r="K19" s="342"/>
      <c r="L19" s="342"/>
      <c r="M19" s="336"/>
      <c r="N19" s="336"/>
      <c r="O19" s="336"/>
      <c r="P19" s="336"/>
      <c r="Q19" s="342"/>
      <c r="R19" s="345"/>
      <c r="S19" s="345"/>
    </row>
    <row r="20" spans="1:19" s="313" customFormat="1" ht="11.25">
      <c r="A20" s="337" t="s">
        <v>924</v>
      </c>
      <c r="B20" s="332">
        <v>0</v>
      </c>
      <c r="C20" s="332">
        <v>0</v>
      </c>
      <c r="D20" s="333"/>
      <c r="E20" s="329">
        <v>25</v>
      </c>
      <c r="F20" s="329">
        <v>21</v>
      </c>
      <c r="G20" s="335">
        <v>19.047619047619047</v>
      </c>
      <c r="H20" s="336"/>
      <c r="I20" s="336"/>
      <c r="J20" s="335"/>
      <c r="K20" s="342"/>
      <c r="L20" s="342"/>
      <c r="M20" s="336"/>
      <c r="N20" s="336"/>
      <c r="O20" s="336"/>
      <c r="P20" s="336"/>
      <c r="Q20" s="342"/>
      <c r="R20" s="345"/>
      <c r="S20" s="345"/>
    </row>
    <row r="21" spans="1:19" s="313" customFormat="1" ht="12.75" customHeight="1">
      <c r="A21" s="337" t="s">
        <v>933</v>
      </c>
      <c r="B21" s="332">
        <v>0</v>
      </c>
      <c r="C21" s="332">
        <v>35</v>
      </c>
      <c r="D21" s="333">
        <f t="shared" si="0"/>
        <v>-100</v>
      </c>
      <c r="E21" s="334"/>
      <c r="F21" s="334"/>
      <c r="G21" s="335"/>
      <c r="H21" s="336"/>
      <c r="I21" s="336"/>
      <c r="J21" s="335"/>
      <c r="K21" s="342"/>
      <c r="L21" s="342"/>
      <c r="M21" s="336"/>
      <c r="N21" s="336"/>
      <c r="O21" s="336"/>
      <c r="P21" s="336"/>
      <c r="Q21" s="342">
        <v>35</v>
      </c>
      <c r="R21" s="345">
        <v>50</v>
      </c>
      <c r="S21" s="333">
        <f aca="true" t="shared" si="2" ref="S21:S25">Q21/R21*100-100</f>
        <v>-30</v>
      </c>
    </row>
    <row r="22" spans="1:19" s="313" customFormat="1" ht="11.25">
      <c r="A22" s="337" t="s">
        <v>934</v>
      </c>
      <c r="B22" s="332">
        <v>115</v>
      </c>
      <c r="C22" s="332">
        <v>20</v>
      </c>
      <c r="D22" s="333">
        <f t="shared" si="0"/>
        <v>475</v>
      </c>
      <c r="E22" s="334"/>
      <c r="F22" s="334"/>
      <c r="G22" s="335"/>
      <c r="H22" s="336"/>
      <c r="I22" s="336"/>
      <c r="J22" s="335"/>
      <c r="K22" s="342"/>
      <c r="L22" s="342"/>
      <c r="M22" s="336"/>
      <c r="N22" s="336"/>
      <c r="O22" s="336"/>
      <c r="P22" s="336"/>
      <c r="Q22" s="342">
        <v>20</v>
      </c>
      <c r="R22" s="345"/>
      <c r="S22" s="345"/>
    </row>
    <row r="23" spans="1:19" s="313" customFormat="1" ht="11.25">
      <c r="A23" s="337" t="s">
        <v>935</v>
      </c>
      <c r="B23" s="332">
        <v>183</v>
      </c>
      <c r="C23" s="332">
        <v>50</v>
      </c>
      <c r="D23" s="333">
        <f t="shared" si="0"/>
        <v>266</v>
      </c>
      <c r="E23" s="329">
        <v>170</v>
      </c>
      <c r="F23" s="329">
        <v>161</v>
      </c>
      <c r="G23" s="335">
        <v>5.590062111801243</v>
      </c>
      <c r="H23" s="336"/>
      <c r="I23" s="336"/>
      <c r="J23" s="335"/>
      <c r="K23" s="341">
        <v>50</v>
      </c>
      <c r="L23" s="341">
        <v>56</v>
      </c>
      <c r="M23" s="336"/>
      <c r="N23" s="336"/>
      <c r="O23" s="336"/>
      <c r="P23" s="336"/>
      <c r="Q23" s="342"/>
      <c r="R23" s="345"/>
      <c r="S23" s="345"/>
    </row>
    <row r="24" spans="1:19" s="313" customFormat="1" ht="12.75" customHeight="1">
      <c r="A24" s="337" t="s">
        <v>936</v>
      </c>
      <c r="B24" s="332">
        <v>298</v>
      </c>
      <c r="C24" s="332">
        <v>270</v>
      </c>
      <c r="D24" s="333">
        <f t="shared" si="0"/>
        <v>10.370370370370367</v>
      </c>
      <c r="E24" s="329">
        <v>80</v>
      </c>
      <c r="F24" s="329">
        <v>11</v>
      </c>
      <c r="G24" s="335">
        <v>627.2727272727273</v>
      </c>
      <c r="H24" s="336">
        <v>60</v>
      </c>
      <c r="I24" s="336">
        <v>60</v>
      </c>
      <c r="J24" s="335">
        <f>H24/I24*100-100</f>
        <v>0</v>
      </c>
      <c r="K24" s="342"/>
      <c r="L24" s="342"/>
      <c r="M24" s="336"/>
      <c r="N24" s="336"/>
      <c r="O24" s="336"/>
      <c r="P24" s="336"/>
      <c r="Q24" s="342">
        <v>270</v>
      </c>
      <c r="R24" s="345">
        <v>404</v>
      </c>
      <c r="S24" s="333">
        <f t="shared" si="2"/>
        <v>-33.16831683168317</v>
      </c>
    </row>
    <row r="25" spans="1:19" s="313" customFormat="1" ht="12.75" customHeight="1">
      <c r="A25" s="337" t="s">
        <v>928</v>
      </c>
      <c r="B25" s="332">
        <v>78</v>
      </c>
      <c r="C25" s="332">
        <v>153</v>
      </c>
      <c r="D25" s="333">
        <f t="shared" si="0"/>
        <v>-49.01960784313726</v>
      </c>
      <c r="E25" s="334"/>
      <c r="F25" s="334"/>
      <c r="G25" s="335"/>
      <c r="H25" s="336"/>
      <c r="I25" s="336"/>
      <c r="J25" s="335"/>
      <c r="K25" s="342"/>
      <c r="L25" s="342"/>
      <c r="M25" s="336"/>
      <c r="N25" s="336"/>
      <c r="O25" s="336"/>
      <c r="P25" s="336"/>
      <c r="Q25" s="342">
        <v>153</v>
      </c>
      <c r="R25" s="345">
        <v>320</v>
      </c>
      <c r="S25" s="333">
        <f t="shared" si="2"/>
        <v>-52.1875</v>
      </c>
    </row>
    <row r="26" spans="1:19" s="313" customFormat="1" ht="12.75" customHeight="1">
      <c r="A26" s="337" t="s">
        <v>937</v>
      </c>
      <c r="B26" s="332">
        <v>0</v>
      </c>
      <c r="C26" s="332">
        <v>0</v>
      </c>
      <c r="D26" s="333"/>
      <c r="E26" s="334"/>
      <c r="F26" s="334"/>
      <c r="G26" s="335"/>
      <c r="H26" s="336">
        <v>60</v>
      </c>
      <c r="I26" s="336">
        <v>60</v>
      </c>
      <c r="J26" s="335">
        <f aca="true" t="shared" si="3" ref="J26:J31">H26/I26*100-100</f>
        <v>0</v>
      </c>
      <c r="K26" s="342"/>
      <c r="L26" s="342"/>
      <c r="M26" s="336"/>
      <c r="N26" s="336"/>
      <c r="O26" s="336"/>
      <c r="P26" s="336"/>
      <c r="Q26" s="342"/>
      <c r="R26" s="345"/>
      <c r="S26" s="345"/>
    </row>
    <row r="27" spans="1:19" s="313" customFormat="1" ht="12.75" customHeight="1">
      <c r="A27" s="337" t="s">
        <v>938</v>
      </c>
      <c r="B27" s="332">
        <v>67</v>
      </c>
      <c r="C27" s="332">
        <v>54</v>
      </c>
      <c r="D27" s="333">
        <f t="shared" si="0"/>
        <v>24.074074074074076</v>
      </c>
      <c r="E27" s="334"/>
      <c r="F27" s="334"/>
      <c r="G27" s="335"/>
      <c r="H27" s="336"/>
      <c r="I27" s="336"/>
      <c r="J27" s="335"/>
      <c r="K27" s="342"/>
      <c r="L27" s="342"/>
      <c r="M27" s="336"/>
      <c r="N27" s="336"/>
      <c r="O27" s="336"/>
      <c r="P27" s="336"/>
      <c r="Q27" s="342">
        <v>54</v>
      </c>
      <c r="R27" s="345">
        <v>25</v>
      </c>
      <c r="S27" s="333">
        <f aca="true" t="shared" si="4" ref="S27:S31">Q27/R27*100-100</f>
        <v>116</v>
      </c>
    </row>
    <row r="28" spans="1:19" s="313" customFormat="1" ht="12.75" customHeight="1">
      <c r="A28" s="337" t="s">
        <v>939</v>
      </c>
      <c r="B28" s="332">
        <v>68</v>
      </c>
      <c r="C28" s="332">
        <v>27</v>
      </c>
      <c r="D28" s="333">
        <f t="shared" si="0"/>
        <v>151.85185185185185</v>
      </c>
      <c r="E28" s="334"/>
      <c r="F28" s="334"/>
      <c r="G28" s="335"/>
      <c r="H28" s="336"/>
      <c r="I28" s="336"/>
      <c r="J28" s="335"/>
      <c r="K28" s="342"/>
      <c r="L28" s="342"/>
      <c r="M28" s="336"/>
      <c r="N28" s="336"/>
      <c r="O28" s="336"/>
      <c r="P28" s="336"/>
      <c r="Q28" s="342">
        <v>27</v>
      </c>
      <c r="R28" s="345">
        <v>23</v>
      </c>
      <c r="S28" s="333">
        <f t="shared" si="4"/>
        <v>17.391304347826093</v>
      </c>
    </row>
    <row r="29" spans="1:19" s="313" customFormat="1" ht="12.75" customHeight="1">
      <c r="A29" s="337" t="s">
        <v>940</v>
      </c>
      <c r="B29" s="332">
        <v>85</v>
      </c>
      <c r="C29" s="332">
        <v>36</v>
      </c>
      <c r="D29" s="333">
        <f t="shared" si="0"/>
        <v>136.11111111111111</v>
      </c>
      <c r="E29" s="329">
        <v>80</v>
      </c>
      <c r="F29" s="329">
        <v>11</v>
      </c>
      <c r="G29" s="335">
        <v>627.2727272727273</v>
      </c>
      <c r="H29" s="336"/>
      <c r="I29" s="336"/>
      <c r="J29" s="335"/>
      <c r="K29" s="342"/>
      <c r="L29" s="342"/>
      <c r="M29" s="336"/>
      <c r="N29" s="336"/>
      <c r="O29" s="336"/>
      <c r="P29" s="336"/>
      <c r="Q29" s="342">
        <v>36</v>
      </c>
      <c r="R29" s="345">
        <v>36</v>
      </c>
      <c r="S29" s="333">
        <f t="shared" si="4"/>
        <v>0</v>
      </c>
    </row>
    <row r="30" spans="1:19" s="313" customFormat="1" ht="12.75" customHeight="1">
      <c r="A30" s="337" t="s">
        <v>941</v>
      </c>
      <c r="B30" s="332">
        <v>2062</v>
      </c>
      <c r="C30" s="332">
        <v>2576</v>
      </c>
      <c r="D30" s="333">
        <f t="shared" si="0"/>
        <v>-19.95341614906833</v>
      </c>
      <c r="E30" s="329">
        <v>323</v>
      </c>
      <c r="F30" s="329">
        <v>217</v>
      </c>
      <c r="G30" s="335">
        <v>48.8479262672811</v>
      </c>
      <c r="H30" s="336">
        <v>50</v>
      </c>
      <c r="I30" s="336">
        <v>50</v>
      </c>
      <c r="J30" s="335">
        <f t="shared" si="3"/>
        <v>0</v>
      </c>
      <c r="K30" s="341">
        <v>41</v>
      </c>
      <c r="L30" s="341">
        <v>46</v>
      </c>
      <c r="M30" s="336"/>
      <c r="N30" s="336"/>
      <c r="O30" s="336"/>
      <c r="P30" s="336"/>
      <c r="Q30" s="342">
        <v>2535</v>
      </c>
      <c r="R30" s="345">
        <v>950</v>
      </c>
      <c r="S30" s="333">
        <f t="shared" si="4"/>
        <v>166.84210526315792</v>
      </c>
    </row>
    <row r="31" spans="1:19" s="313" customFormat="1" ht="11.25">
      <c r="A31" s="337" t="s">
        <v>928</v>
      </c>
      <c r="B31" s="332">
        <v>912</v>
      </c>
      <c r="C31" s="332">
        <v>2512</v>
      </c>
      <c r="D31" s="333">
        <f t="shared" si="0"/>
        <v>-63.69426751592357</v>
      </c>
      <c r="E31" s="329">
        <v>150</v>
      </c>
      <c r="F31" s="329">
        <v>142</v>
      </c>
      <c r="G31" s="335">
        <v>5.633802816901409</v>
      </c>
      <c r="H31" s="336">
        <v>50</v>
      </c>
      <c r="I31" s="336">
        <v>50</v>
      </c>
      <c r="J31" s="335">
        <f t="shared" si="3"/>
        <v>0</v>
      </c>
      <c r="K31" s="342"/>
      <c r="L31" s="342"/>
      <c r="M31" s="336"/>
      <c r="N31" s="336"/>
      <c r="O31" s="336"/>
      <c r="P31" s="336"/>
      <c r="Q31" s="342">
        <v>2512</v>
      </c>
      <c r="R31" s="345">
        <v>808</v>
      </c>
      <c r="S31" s="333">
        <f t="shared" si="4"/>
        <v>210.89108910891088</v>
      </c>
    </row>
    <row r="32" spans="1:19" s="313" customFormat="1" ht="11.25">
      <c r="A32" s="337" t="s">
        <v>924</v>
      </c>
      <c r="B32" s="332">
        <v>0</v>
      </c>
      <c r="C32" s="332">
        <v>0</v>
      </c>
      <c r="D32" s="333"/>
      <c r="E32" s="329">
        <v>40</v>
      </c>
      <c r="F32" s="329">
        <v>34</v>
      </c>
      <c r="G32" s="335">
        <v>17.647058823529413</v>
      </c>
      <c r="H32" s="336"/>
      <c r="I32" s="336"/>
      <c r="J32" s="335"/>
      <c r="K32" s="342"/>
      <c r="L32" s="342"/>
      <c r="M32" s="336"/>
      <c r="N32" s="336"/>
      <c r="O32" s="336"/>
      <c r="P32" s="336"/>
      <c r="Q32" s="342"/>
      <c r="R32" s="345"/>
      <c r="S32" s="345"/>
    </row>
    <row r="33" spans="1:19" s="313" customFormat="1" ht="12.75" customHeight="1">
      <c r="A33" s="337" t="s">
        <v>942</v>
      </c>
      <c r="B33" s="332">
        <v>21</v>
      </c>
      <c r="C33" s="332">
        <v>23</v>
      </c>
      <c r="D33" s="333">
        <f t="shared" si="0"/>
        <v>-8.695652173913047</v>
      </c>
      <c r="E33" s="334"/>
      <c r="F33" s="334"/>
      <c r="G33" s="335"/>
      <c r="H33" s="336"/>
      <c r="I33" s="336"/>
      <c r="J33" s="335"/>
      <c r="K33" s="342"/>
      <c r="L33" s="342"/>
      <c r="M33" s="336"/>
      <c r="N33" s="336"/>
      <c r="O33" s="336"/>
      <c r="P33" s="336"/>
      <c r="Q33" s="342">
        <v>23</v>
      </c>
      <c r="R33" s="345">
        <v>24</v>
      </c>
      <c r="S33" s="333">
        <f aca="true" t="shared" si="5" ref="S33:S38">Q33/R33*100-100</f>
        <v>-4.166666666666657</v>
      </c>
    </row>
    <row r="34" spans="1:19" s="313" customFormat="1" ht="11.25">
      <c r="A34" s="337" t="s">
        <v>943</v>
      </c>
      <c r="B34" s="332">
        <v>0</v>
      </c>
      <c r="C34" s="332">
        <v>0</v>
      </c>
      <c r="D34" s="333"/>
      <c r="E34" s="329">
        <v>33</v>
      </c>
      <c r="F34" s="329">
        <v>18</v>
      </c>
      <c r="G34" s="335">
        <v>83.33333333333334</v>
      </c>
      <c r="H34" s="336"/>
      <c r="I34" s="336"/>
      <c r="J34" s="335"/>
      <c r="K34" s="342"/>
      <c r="L34" s="342"/>
      <c r="M34" s="336"/>
      <c r="N34" s="336"/>
      <c r="O34" s="336"/>
      <c r="P34" s="336"/>
      <c r="Q34" s="342"/>
      <c r="R34" s="345"/>
      <c r="S34" s="345"/>
    </row>
    <row r="35" spans="1:19" s="313" customFormat="1" ht="11.25">
      <c r="A35" s="337" t="s">
        <v>944</v>
      </c>
      <c r="B35" s="332">
        <v>1045</v>
      </c>
      <c r="C35" s="332">
        <v>0</v>
      </c>
      <c r="D35" s="333"/>
      <c r="E35" s="334"/>
      <c r="F35" s="334"/>
      <c r="G35" s="335"/>
      <c r="H35" s="336"/>
      <c r="I35" s="336"/>
      <c r="J35" s="335"/>
      <c r="K35" s="342"/>
      <c r="L35" s="342"/>
      <c r="M35" s="336"/>
      <c r="N35" s="336"/>
      <c r="O35" s="336"/>
      <c r="P35" s="336"/>
      <c r="Q35" s="342"/>
      <c r="R35" s="345">
        <v>49</v>
      </c>
      <c r="S35" s="333">
        <f t="shared" si="5"/>
        <v>-100</v>
      </c>
    </row>
    <row r="36" spans="1:19" s="313" customFormat="1" ht="11.25">
      <c r="A36" s="337" t="s">
        <v>945</v>
      </c>
      <c r="B36" s="332">
        <v>0</v>
      </c>
      <c r="C36" s="332">
        <v>0</v>
      </c>
      <c r="D36" s="333"/>
      <c r="E36" s="329"/>
      <c r="F36" s="329"/>
      <c r="G36" s="335"/>
      <c r="H36" s="336"/>
      <c r="I36" s="336"/>
      <c r="J36" s="335"/>
      <c r="K36" s="342"/>
      <c r="L36" s="342"/>
      <c r="M36" s="336"/>
      <c r="N36" s="336"/>
      <c r="O36" s="336"/>
      <c r="P36" s="336"/>
      <c r="Q36" s="342"/>
      <c r="R36" s="345"/>
      <c r="S36" s="345"/>
    </row>
    <row r="37" spans="1:19" s="313" customFormat="1" ht="11.25">
      <c r="A37" s="337" t="s">
        <v>946</v>
      </c>
      <c r="B37" s="332">
        <v>85</v>
      </c>
      <c r="C37" s="332">
        <v>41</v>
      </c>
      <c r="D37" s="333">
        <f t="shared" si="0"/>
        <v>107.3170731707317</v>
      </c>
      <c r="E37" s="329">
        <v>100</v>
      </c>
      <c r="F37" s="329">
        <v>23</v>
      </c>
      <c r="G37" s="335">
        <v>334.7826086956522</v>
      </c>
      <c r="H37" s="336"/>
      <c r="I37" s="336"/>
      <c r="J37" s="335"/>
      <c r="K37" s="341">
        <v>41</v>
      </c>
      <c r="L37" s="341">
        <v>46</v>
      </c>
      <c r="M37" s="336"/>
      <c r="N37" s="336"/>
      <c r="O37" s="336"/>
      <c r="P37" s="336"/>
      <c r="Q37" s="342"/>
      <c r="R37" s="345">
        <v>69</v>
      </c>
      <c r="S37" s="333">
        <f t="shared" si="5"/>
        <v>-100</v>
      </c>
    </row>
    <row r="38" spans="1:19" s="313" customFormat="1" ht="11.25">
      <c r="A38" s="337" t="s">
        <v>947</v>
      </c>
      <c r="B38" s="332">
        <v>2869.4</v>
      </c>
      <c r="C38" s="332">
        <v>2879</v>
      </c>
      <c r="D38" s="333">
        <f t="shared" si="0"/>
        <v>-0.33344911427577983</v>
      </c>
      <c r="E38" s="329">
        <v>2850</v>
      </c>
      <c r="F38" s="329">
        <v>2406</v>
      </c>
      <c r="G38" s="335">
        <v>18.453865336658353</v>
      </c>
      <c r="H38" s="336">
        <v>3800</v>
      </c>
      <c r="I38" s="336">
        <v>3600</v>
      </c>
      <c r="J38" s="335">
        <f>H38/I38*100-100</f>
        <v>5.555555555555557</v>
      </c>
      <c r="K38" s="341">
        <v>379</v>
      </c>
      <c r="L38" s="341">
        <v>421</v>
      </c>
      <c r="M38" s="336"/>
      <c r="N38" s="336"/>
      <c r="O38" s="336"/>
      <c r="P38" s="336"/>
      <c r="Q38" s="342">
        <v>2500</v>
      </c>
      <c r="R38" s="345">
        <v>2500</v>
      </c>
      <c r="S38" s="333">
        <f t="shared" si="5"/>
        <v>0</v>
      </c>
    </row>
    <row r="39" spans="1:19" s="313" customFormat="1" ht="12.75" customHeight="1">
      <c r="A39" s="337" t="s">
        <v>928</v>
      </c>
      <c r="B39" s="332">
        <v>0</v>
      </c>
      <c r="C39" s="332">
        <v>0</v>
      </c>
      <c r="D39" s="333"/>
      <c r="E39" s="334"/>
      <c r="F39" s="334"/>
      <c r="G39" s="335"/>
      <c r="H39" s="336">
        <v>3800</v>
      </c>
      <c r="I39" s="336">
        <v>3600</v>
      </c>
      <c r="J39" s="335">
        <f>H39/I39*100-100</f>
        <v>5.555555555555557</v>
      </c>
      <c r="K39" s="342"/>
      <c r="L39" s="342"/>
      <c r="M39" s="336"/>
      <c r="N39" s="336"/>
      <c r="O39" s="336"/>
      <c r="P39" s="336"/>
      <c r="Q39" s="342"/>
      <c r="R39" s="345"/>
      <c r="S39" s="345"/>
    </row>
    <row r="40" spans="1:19" s="313" customFormat="1" ht="11.25">
      <c r="A40" s="337" t="s">
        <v>948</v>
      </c>
      <c r="B40" s="332">
        <v>0</v>
      </c>
      <c r="C40" s="332">
        <v>0</v>
      </c>
      <c r="D40" s="333"/>
      <c r="E40" s="329">
        <v>850</v>
      </c>
      <c r="F40" s="329">
        <v>619</v>
      </c>
      <c r="G40" s="335">
        <v>37.31825525040387</v>
      </c>
      <c r="H40" s="336"/>
      <c r="I40" s="336"/>
      <c r="J40" s="335"/>
      <c r="K40" s="342"/>
      <c r="L40" s="342"/>
      <c r="M40" s="336"/>
      <c r="N40" s="336"/>
      <c r="O40" s="336"/>
      <c r="P40" s="336"/>
      <c r="Q40" s="342"/>
      <c r="R40" s="345"/>
      <c r="S40" s="345"/>
    </row>
    <row r="41" spans="1:19" s="313" customFormat="1" ht="11.25">
      <c r="A41" s="337" t="s">
        <v>949</v>
      </c>
      <c r="B41" s="332">
        <v>0</v>
      </c>
      <c r="C41" s="332">
        <v>0</v>
      </c>
      <c r="D41" s="333"/>
      <c r="E41" s="329">
        <v>0</v>
      </c>
      <c r="F41" s="334">
        <v>69</v>
      </c>
      <c r="G41" s="335">
        <v>-100</v>
      </c>
      <c r="H41" s="336"/>
      <c r="I41" s="336"/>
      <c r="J41" s="335"/>
      <c r="K41" s="342"/>
      <c r="L41" s="342"/>
      <c r="M41" s="336"/>
      <c r="N41" s="336"/>
      <c r="O41" s="336"/>
      <c r="P41" s="336"/>
      <c r="Q41" s="342"/>
      <c r="R41" s="345"/>
      <c r="S41" s="345"/>
    </row>
    <row r="42" spans="1:19" s="313" customFormat="1" ht="12.75" customHeight="1">
      <c r="A42" s="337" t="s">
        <v>950</v>
      </c>
      <c r="B42" s="332">
        <v>2869.4</v>
      </c>
      <c r="C42" s="332">
        <v>2879</v>
      </c>
      <c r="D42" s="333">
        <f t="shared" si="0"/>
        <v>-0.33344911427577983</v>
      </c>
      <c r="E42" s="329">
        <v>2000</v>
      </c>
      <c r="F42" s="329">
        <v>1717</v>
      </c>
      <c r="G42" s="335">
        <v>16.48223645894001</v>
      </c>
      <c r="H42" s="336"/>
      <c r="I42" s="336"/>
      <c r="J42" s="335"/>
      <c r="K42" s="341">
        <v>379</v>
      </c>
      <c r="L42" s="341">
        <v>421</v>
      </c>
      <c r="M42" s="336"/>
      <c r="N42" s="336"/>
      <c r="O42" s="336"/>
      <c r="P42" s="336"/>
      <c r="Q42" s="342">
        <v>2500</v>
      </c>
      <c r="R42" s="345">
        <v>2500</v>
      </c>
      <c r="S42" s="333">
        <f aca="true" t="shared" si="6" ref="S42:S45">Q42/R42*100-100</f>
        <v>0</v>
      </c>
    </row>
    <row r="43" spans="1:19" s="313" customFormat="1" ht="12.75" customHeight="1">
      <c r="A43" s="337" t="s">
        <v>951</v>
      </c>
      <c r="B43" s="332">
        <v>49</v>
      </c>
      <c r="C43" s="332">
        <v>75</v>
      </c>
      <c r="D43" s="333">
        <f t="shared" si="0"/>
        <v>-34.66666666666667</v>
      </c>
      <c r="E43" s="329">
        <v>100</v>
      </c>
      <c r="F43" s="329">
        <v>50</v>
      </c>
      <c r="G43" s="335">
        <v>100</v>
      </c>
      <c r="H43" s="336">
        <v>30</v>
      </c>
      <c r="I43" s="336"/>
      <c r="J43" s="335"/>
      <c r="K43" s="342"/>
      <c r="L43" s="342"/>
      <c r="M43" s="336"/>
      <c r="N43" s="336"/>
      <c r="O43" s="336"/>
      <c r="P43" s="336"/>
      <c r="Q43" s="342">
        <v>75</v>
      </c>
      <c r="R43" s="345">
        <v>84</v>
      </c>
      <c r="S43" s="333">
        <f t="shared" si="6"/>
        <v>-10.714285714285708</v>
      </c>
    </row>
    <row r="44" spans="1:19" s="313" customFormat="1" ht="12.75" customHeight="1">
      <c r="A44" s="337" t="s">
        <v>928</v>
      </c>
      <c r="B44" s="332">
        <v>31</v>
      </c>
      <c r="C44" s="332">
        <v>43</v>
      </c>
      <c r="D44" s="333">
        <f t="shared" si="0"/>
        <v>-27.906976744186053</v>
      </c>
      <c r="E44" s="334"/>
      <c r="F44" s="334"/>
      <c r="G44" s="335"/>
      <c r="H44" s="336">
        <v>30</v>
      </c>
      <c r="I44" s="336">
        <v>30</v>
      </c>
      <c r="J44" s="335">
        <f>H44/I44*100-100</f>
        <v>0</v>
      </c>
      <c r="K44" s="342"/>
      <c r="L44" s="342"/>
      <c r="M44" s="336"/>
      <c r="N44" s="336"/>
      <c r="O44" s="336"/>
      <c r="P44" s="336"/>
      <c r="Q44" s="342">
        <v>43</v>
      </c>
      <c r="R44" s="345">
        <v>68</v>
      </c>
      <c r="S44" s="333">
        <f t="shared" si="6"/>
        <v>-36.76470588235294</v>
      </c>
    </row>
    <row r="45" spans="1:19" s="313" customFormat="1" ht="12.75" customHeight="1">
      <c r="A45" s="337" t="s">
        <v>952</v>
      </c>
      <c r="B45" s="332">
        <v>18</v>
      </c>
      <c r="C45" s="332">
        <v>32</v>
      </c>
      <c r="D45" s="333">
        <f t="shared" si="0"/>
        <v>-43.75</v>
      </c>
      <c r="E45" s="334"/>
      <c r="F45" s="334"/>
      <c r="G45" s="335"/>
      <c r="H45" s="336"/>
      <c r="I45" s="336">
        <v>30</v>
      </c>
      <c r="J45" s="335">
        <f>H45/I45*100-100</f>
        <v>-100</v>
      </c>
      <c r="K45" s="342"/>
      <c r="L45" s="342"/>
      <c r="M45" s="336"/>
      <c r="N45" s="336"/>
      <c r="O45" s="336"/>
      <c r="P45" s="336"/>
      <c r="Q45" s="342">
        <v>32</v>
      </c>
      <c r="R45" s="345">
        <v>16</v>
      </c>
      <c r="S45" s="333">
        <f t="shared" si="6"/>
        <v>100</v>
      </c>
    </row>
    <row r="46" spans="1:19" s="313" customFormat="1" ht="11.25">
      <c r="A46" s="337" t="s">
        <v>953</v>
      </c>
      <c r="B46" s="332">
        <v>0</v>
      </c>
      <c r="C46" s="332">
        <v>0</v>
      </c>
      <c r="D46" s="333"/>
      <c r="E46" s="329">
        <v>100</v>
      </c>
      <c r="F46" s="329">
        <v>50</v>
      </c>
      <c r="G46" s="335">
        <v>100</v>
      </c>
      <c r="H46" s="336"/>
      <c r="I46" s="336"/>
      <c r="J46" s="335"/>
      <c r="K46" s="342"/>
      <c r="L46" s="342"/>
      <c r="M46" s="336"/>
      <c r="N46" s="336"/>
      <c r="O46" s="336"/>
      <c r="P46" s="336"/>
      <c r="Q46" s="342"/>
      <c r="R46" s="345"/>
      <c r="S46" s="345"/>
    </row>
    <row r="47" spans="1:19" s="313" customFormat="1" ht="12.75" customHeight="1">
      <c r="A47" s="337" t="s">
        <v>954</v>
      </c>
      <c r="B47" s="332">
        <v>0</v>
      </c>
      <c r="C47" s="332">
        <v>15</v>
      </c>
      <c r="D47" s="333">
        <f t="shared" si="0"/>
        <v>-100</v>
      </c>
      <c r="E47" s="334"/>
      <c r="F47" s="334"/>
      <c r="G47" s="335"/>
      <c r="H47" s="336"/>
      <c r="I47" s="336"/>
      <c r="J47" s="335"/>
      <c r="K47" s="342"/>
      <c r="L47" s="342"/>
      <c r="M47" s="336"/>
      <c r="N47" s="336"/>
      <c r="O47" s="336"/>
      <c r="P47" s="336"/>
      <c r="Q47" s="342">
        <v>15</v>
      </c>
      <c r="R47" s="345">
        <v>15</v>
      </c>
      <c r="S47" s="333">
        <f aca="true" t="shared" si="7" ref="S47:S50">Q47/R47*100-100</f>
        <v>0</v>
      </c>
    </row>
    <row r="48" spans="1:19" s="313" customFormat="1" ht="12.75" customHeight="1">
      <c r="A48" s="337" t="s">
        <v>955</v>
      </c>
      <c r="B48" s="332">
        <v>0</v>
      </c>
      <c r="C48" s="332">
        <v>15</v>
      </c>
      <c r="D48" s="333">
        <f t="shared" si="0"/>
        <v>-100</v>
      </c>
      <c r="E48" s="334"/>
      <c r="F48" s="334"/>
      <c r="G48" s="335"/>
      <c r="H48" s="336"/>
      <c r="I48" s="336"/>
      <c r="J48" s="335"/>
      <c r="K48" s="342"/>
      <c r="L48" s="342"/>
      <c r="M48" s="336"/>
      <c r="N48" s="336"/>
      <c r="O48" s="336"/>
      <c r="P48" s="336"/>
      <c r="Q48" s="342">
        <v>15</v>
      </c>
      <c r="R48" s="345">
        <v>15</v>
      </c>
      <c r="S48" s="333">
        <f t="shared" si="7"/>
        <v>0</v>
      </c>
    </row>
    <row r="49" spans="1:19" s="313" customFormat="1" ht="12.75" customHeight="1">
      <c r="A49" s="337" t="s">
        <v>956</v>
      </c>
      <c r="B49" s="332">
        <v>769</v>
      </c>
      <c r="C49" s="332">
        <v>603</v>
      </c>
      <c r="D49" s="333">
        <f t="shared" si="0"/>
        <v>27.529021558872316</v>
      </c>
      <c r="E49" s="329">
        <v>5178</v>
      </c>
      <c r="F49" s="329">
        <v>1736</v>
      </c>
      <c r="G49" s="335">
        <v>198.27188940092165</v>
      </c>
      <c r="H49" s="336"/>
      <c r="I49" s="336"/>
      <c r="J49" s="335"/>
      <c r="K49" s="341">
        <v>22</v>
      </c>
      <c r="L49" s="341">
        <v>24</v>
      </c>
      <c r="M49" s="336"/>
      <c r="N49" s="336"/>
      <c r="O49" s="336"/>
      <c r="P49" s="336"/>
      <c r="Q49" s="342">
        <v>581</v>
      </c>
      <c r="R49" s="345">
        <v>50</v>
      </c>
      <c r="S49" s="333">
        <f t="shared" si="7"/>
        <v>1062</v>
      </c>
    </row>
    <row r="50" spans="1:19" s="313" customFormat="1" ht="12.75" customHeight="1">
      <c r="A50" s="337" t="s">
        <v>928</v>
      </c>
      <c r="B50" s="332">
        <v>567</v>
      </c>
      <c r="C50" s="332">
        <v>541</v>
      </c>
      <c r="D50" s="333">
        <f t="shared" si="0"/>
        <v>4.8059149722735555</v>
      </c>
      <c r="E50" s="334"/>
      <c r="F50" s="334"/>
      <c r="G50" s="335"/>
      <c r="H50" s="336"/>
      <c r="I50" s="336"/>
      <c r="J50" s="335"/>
      <c r="K50" s="342"/>
      <c r="L50" s="342"/>
      <c r="M50" s="336"/>
      <c r="N50" s="336"/>
      <c r="O50" s="336"/>
      <c r="P50" s="336"/>
      <c r="Q50" s="342">
        <v>541</v>
      </c>
      <c r="R50" s="345">
        <v>33</v>
      </c>
      <c r="S50" s="333">
        <f t="shared" si="7"/>
        <v>1539.3939393939395</v>
      </c>
    </row>
    <row r="51" spans="1:19" s="313" customFormat="1" ht="12.75" customHeight="1">
      <c r="A51" s="337" t="s">
        <v>924</v>
      </c>
      <c r="B51" s="332">
        <v>5</v>
      </c>
      <c r="C51" s="332">
        <v>24</v>
      </c>
      <c r="D51" s="333">
        <f t="shared" si="0"/>
        <v>-79.16666666666666</v>
      </c>
      <c r="E51" s="329">
        <v>50</v>
      </c>
      <c r="F51" s="329">
        <v>35</v>
      </c>
      <c r="G51" s="335">
        <v>42.857142857142854</v>
      </c>
      <c r="H51" s="336"/>
      <c r="I51" s="336"/>
      <c r="J51" s="335"/>
      <c r="K51" s="342"/>
      <c r="L51" s="342"/>
      <c r="M51" s="336"/>
      <c r="N51" s="336"/>
      <c r="O51" s="336"/>
      <c r="P51" s="336"/>
      <c r="Q51" s="342">
        <v>24</v>
      </c>
      <c r="R51" s="345"/>
      <c r="S51" s="345"/>
    </row>
    <row r="52" spans="1:19" s="313" customFormat="1" ht="11.25">
      <c r="A52" s="337" t="s">
        <v>957</v>
      </c>
      <c r="B52" s="332">
        <v>0</v>
      </c>
      <c r="C52" s="332">
        <v>0</v>
      </c>
      <c r="D52" s="333"/>
      <c r="E52" s="329">
        <v>8</v>
      </c>
      <c r="F52" s="329">
        <v>8</v>
      </c>
      <c r="G52" s="335">
        <v>0</v>
      </c>
      <c r="H52" s="336"/>
      <c r="I52" s="336"/>
      <c r="J52" s="335"/>
      <c r="K52" s="342"/>
      <c r="L52" s="342"/>
      <c r="M52" s="336"/>
      <c r="N52" s="336"/>
      <c r="O52" s="336"/>
      <c r="P52" s="336"/>
      <c r="Q52" s="342"/>
      <c r="R52" s="345"/>
      <c r="S52" s="345"/>
    </row>
    <row r="53" spans="1:19" s="313" customFormat="1" ht="11.25">
      <c r="A53" s="337" t="s">
        <v>958</v>
      </c>
      <c r="B53" s="332">
        <v>0</v>
      </c>
      <c r="C53" s="332">
        <v>0</v>
      </c>
      <c r="D53" s="333"/>
      <c r="E53" s="334"/>
      <c r="F53" s="334"/>
      <c r="G53" s="335"/>
      <c r="H53" s="336"/>
      <c r="I53" s="336"/>
      <c r="J53" s="335"/>
      <c r="K53" s="342"/>
      <c r="L53" s="342"/>
      <c r="M53" s="336"/>
      <c r="N53" s="336"/>
      <c r="O53" s="336"/>
      <c r="P53" s="336"/>
      <c r="Q53" s="342"/>
      <c r="R53" s="345"/>
      <c r="S53" s="345"/>
    </row>
    <row r="54" spans="1:19" s="313" customFormat="1" ht="12.75" customHeight="1">
      <c r="A54" s="337" t="s">
        <v>959</v>
      </c>
      <c r="B54" s="332">
        <v>187</v>
      </c>
      <c r="C54" s="332">
        <v>10</v>
      </c>
      <c r="D54" s="333">
        <f t="shared" si="0"/>
        <v>1770</v>
      </c>
      <c r="E54" s="329">
        <v>0</v>
      </c>
      <c r="F54" s="334">
        <v>384</v>
      </c>
      <c r="G54" s="335">
        <v>-100</v>
      </c>
      <c r="H54" s="336"/>
      <c r="I54" s="336"/>
      <c r="J54" s="335"/>
      <c r="K54" s="342"/>
      <c r="L54" s="342"/>
      <c r="M54" s="336"/>
      <c r="N54" s="336"/>
      <c r="O54" s="336"/>
      <c r="P54" s="336"/>
      <c r="Q54" s="342">
        <v>10</v>
      </c>
      <c r="R54" s="345"/>
      <c r="S54" s="345"/>
    </row>
    <row r="55" spans="1:19" s="313" customFormat="1" ht="11.25">
      <c r="A55" s="337" t="s">
        <v>960</v>
      </c>
      <c r="B55" s="332">
        <v>0</v>
      </c>
      <c r="C55" s="332">
        <v>0</v>
      </c>
      <c r="D55" s="333"/>
      <c r="E55" s="329">
        <v>120</v>
      </c>
      <c r="F55" s="329">
        <v>70</v>
      </c>
      <c r="G55" s="335">
        <v>71.42857142857143</v>
      </c>
      <c r="H55" s="336"/>
      <c r="I55" s="336"/>
      <c r="J55" s="335"/>
      <c r="K55" s="342"/>
      <c r="L55" s="342"/>
      <c r="M55" s="336"/>
      <c r="N55" s="336"/>
      <c r="O55" s="336"/>
      <c r="P55" s="336"/>
      <c r="Q55" s="342"/>
      <c r="R55" s="345">
        <v>15</v>
      </c>
      <c r="S55" s="333">
        <f aca="true" t="shared" si="8" ref="S55:S58">Q55/R55*100-100</f>
        <v>-100</v>
      </c>
    </row>
    <row r="56" spans="1:19" s="313" customFormat="1" ht="12.75" customHeight="1">
      <c r="A56" s="337" t="s">
        <v>961</v>
      </c>
      <c r="B56" s="332">
        <v>10</v>
      </c>
      <c r="C56" s="332">
        <v>28</v>
      </c>
      <c r="D56" s="333">
        <f t="shared" si="0"/>
        <v>-64.28571428571428</v>
      </c>
      <c r="E56" s="329">
        <v>5000</v>
      </c>
      <c r="F56" s="329">
        <v>1239</v>
      </c>
      <c r="G56" s="335">
        <v>303.5512510088781</v>
      </c>
      <c r="H56" s="336"/>
      <c r="I56" s="336"/>
      <c r="J56" s="335"/>
      <c r="K56" s="341">
        <v>22</v>
      </c>
      <c r="L56" s="341">
        <v>24</v>
      </c>
      <c r="M56" s="336"/>
      <c r="N56" s="336"/>
      <c r="O56" s="336"/>
      <c r="P56" s="336"/>
      <c r="Q56" s="342">
        <v>6</v>
      </c>
      <c r="R56" s="345">
        <v>2</v>
      </c>
      <c r="S56" s="333">
        <f t="shared" si="8"/>
        <v>200</v>
      </c>
    </row>
    <row r="57" spans="1:19" s="313" customFormat="1" ht="12.75" customHeight="1">
      <c r="A57" s="337" t="s">
        <v>962</v>
      </c>
      <c r="B57" s="332">
        <v>163.1</v>
      </c>
      <c r="C57" s="332">
        <v>152</v>
      </c>
      <c r="D57" s="333">
        <f t="shared" si="0"/>
        <v>7.30263157894737</v>
      </c>
      <c r="E57" s="329">
        <v>40</v>
      </c>
      <c r="F57" s="329">
        <v>24</v>
      </c>
      <c r="G57" s="335">
        <v>66.66666666666666</v>
      </c>
      <c r="H57" s="336"/>
      <c r="I57" s="336"/>
      <c r="J57" s="335"/>
      <c r="K57" s="341">
        <v>20</v>
      </c>
      <c r="L57" s="341">
        <v>22</v>
      </c>
      <c r="M57" s="336"/>
      <c r="N57" s="336"/>
      <c r="O57" s="336"/>
      <c r="P57" s="336"/>
      <c r="Q57" s="342">
        <v>132</v>
      </c>
      <c r="R57" s="345">
        <v>10</v>
      </c>
      <c r="S57" s="333">
        <f t="shared" si="8"/>
        <v>1220</v>
      </c>
    </row>
    <row r="58" spans="1:19" s="313" customFormat="1" ht="12.75" customHeight="1">
      <c r="A58" s="337" t="s">
        <v>928</v>
      </c>
      <c r="B58" s="332">
        <v>109</v>
      </c>
      <c r="C58" s="332">
        <v>132</v>
      </c>
      <c r="D58" s="333">
        <f t="shared" si="0"/>
        <v>-17.424242424242422</v>
      </c>
      <c r="E58" s="334"/>
      <c r="F58" s="334"/>
      <c r="G58" s="335"/>
      <c r="H58" s="336"/>
      <c r="I58" s="336"/>
      <c r="J58" s="335"/>
      <c r="K58" s="342"/>
      <c r="L58" s="342"/>
      <c r="M58" s="336"/>
      <c r="N58" s="336"/>
      <c r="O58" s="336"/>
      <c r="P58" s="336"/>
      <c r="Q58" s="342">
        <v>132</v>
      </c>
      <c r="R58" s="345">
        <v>10</v>
      </c>
      <c r="S58" s="333">
        <f t="shared" si="8"/>
        <v>1220</v>
      </c>
    </row>
    <row r="59" spans="1:19" s="313" customFormat="1" ht="11.25">
      <c r="A59" s="337" t="s">
        <v>924</v>
      </c>
      <c r="B59" s="332">
        <v>0</v>
      </c>
      <c r="C59" s="332">
        <v>0</v>
      </c>
      <c r="D59" s="333"/>
      <c r="E59" s="329">
        <v>9</v>
      </c>
      <c r="F59" s="329">
        <v>9</v>
      </c>
      <c r="G59" s="335">
        <v>0</v>
      </c>
      <c r="H59" s="336"/>
      <c r="I59" s="336"/>
      <c r="J59" s="335"/>
      <c r="K59" s="342"/>
      <c r="L59" s="342"/>
      <c r="M59" s="336"/>
      <c r="N59" s="336"/>
      <c r="O59" s="336"/>
      <c r="P59" s="336"/>
      <c r="Q59" s="342"/>
      <c r="R59" s="345"/>
      <c r="S59" s="345"/>
    </row>
    <row r="60" spans="1:19" s="313" customFormat="1" ht="11.25">
      <c r="A60" s="337" t="s">
        <v>963</v>
      </c>
      <c r="B60" s="332">
        <v>0</v>
      </c>
      <c r="C60" s="332">
        <v>0</v>
      </c>
      <c r="D60" s="333"/>
      <c r="E60" s="329">
        <v>1</v>
      </c>
      <c r="F60" s="329">
        <v>1</v>
      </c>
      <c r="G60" s="335">
        <v>0</v>
      </c>
      <c r="H60" s="336"/>
      <c r="I60" s="336"/>
      <c r="J60" s="335"/>
      <c r="K60" s="342"/>
      <c r="L60" s="342"/>
      <c r="M60" s="336"/>
      <c r="N60" s="336"/>
      <c r="O60" s="336"/>
      <c r="P60" s="336"/>
      <c r="Q60" s="342"/>
      <c r="R60" s="345"/>
      <c r="S60" s="345"/>
    </row>
    <row r="61" spans="1:19" s="313" customFormat="1" ht="11.25">
      <c r="A61" s="337" t="s">
        <v>964</v>
      </c>
      <c r="B61" s="332">
        <v>54</v>
      </c>
      <c r="C61" s="332">
        <v>20</v>
      </c>
      <c r="D61" s="333">
        <f t="shared" si="0"/>
        <v>170</v>
      </c>
      <c r="E61" s="329">
        <v>30</v>
      </c>
      <c r="F61" s="329">
        <v>14</v>
      </c>
      <c r="G61" s="335">
        <v>114.28571428571428</v>
      </c>
      <c r="H61" s="336"/>
      <c r="I61" s="336"/>
      <c r="J61" s="335"/>
      <c r="K61" s="341">
        <v>20</v>
      </c>
      <c r="L61" s="341">
        <v>22</v>
      </c>
      <c r="M61" s="336"/>
      <c r="N61" s="336"/>
      <c r="O61" s="336"/>
      <c r="P61" s="336"/>
      <c r="Q61" s="342"/>
      <c r="R61" s="345"/>
      <c r="S61" s="345"/>
    </row>
    <row r="62" spans="1:19" s="313" customFormat="1" ht="11.25">
      <c r="A62" s="337" t="s">
        <v>965</v>
      </c>
      <c r="B62" s="332">
        <v>1523.4</v>
      </c>
      <c r="C62" s="332">
        <v>1214</v>
      </c>
      <c r="D62" s="333">
        <f t="shared" si="0"/>
        <v>25.485996705107098</v>
      </c>
      <c r="E62" s="329">
        <v>2710</v>
      </c>
      <c r="F62" s="329"/>
      <c r="G62" s="335"/>
      <c r="H62" s="336"/>
      <c r="I62" s="336"/>
      <c r="J62" s="335"/>
      <c r="K62" s="341">
        <v>171</v>
      </c>
      <c r="L62" s="341">
        <v>190</v>
      </c>
      <c r="M62" s="336"/>
      <c r="N62" s="336"/>
      <c r="O62" s="336"/>
      <c r="P62" s="336"/>
      <c r="Q62" s="342">
        <v>1043</v>
      </c>
      <c r="R62" s="345">
        <v>889</v>
      </c>
      <c r="S62" s="333">
        <f aca="true" t="shared" si="9" ref="S62:S67">Q62/R62*100-100</f>
        <v>17.32283464566929</v>
      </c>
    </row>
    <row r="63" spans="1:19" s="313" customFormat="1" ht="11.25">
      <c r="A63" s="337" t="s">
        <v>924</v>
      </c>
      <c r="B63" s="332">
        <v>0</v>
      </c>
      <c r="C63" s="332">
        <v>0</v>
      </c>
      <c r="D63" s="333"/>
      <c r="E63" s="329">
        <v>55</v>
      </c>
      <c r="F63" s="329">
        <v>36</v>
      </c>
      <c r="G63" s="335">
        <v>52.77777777777778</v>
      </c>
      <c r="H63" s="336"/>
      <c r="I63" s="336"/>
      <c r="J63" s="335"/>
      <c r="K63" s="342"/>
      <c r="L63" s="342"/>
      <c r="M63" s="336"/>
      <c r="N63" s="336"/>
      <c r="O63" s="336"/>
      <c r="P63" s="336"/>
      <c r="Q63" s="342"/>
      <c r="R63" s="345"/>
      <c r="S63" s="345"/>
    </row>
    <row r="64" spans="1:19" s="313" customFormat="1" ht="11.25">
      <c r="A64" s="337" t="s">
        <v>929</v>
      </c>
      <c r="B64" s="332">
        <v>0</v>
      </c>
      <c r="C64" s="332">
        <v>0</v>
      </c>
      <c r="D64" s="333"/>
      <c r="E64" s="329">
        <v>600</v>
      </c>
      <c r="F64" s="329">
        <v>568</v>
      </c>
      <c r="G64" s="335">
        <v>5.633802816901409</v>
      </c>
      <c r="H64" s="336"/>
      <c r="I64" s="336"/>
      <c r="J64" s="335"/>
      <c r="K64" s="342"/>
      <c r="L64" s="342"/>
      <c r="M64" s="336"/>
      <c r="N64" s="336"/>
      <c r="O64" s="336"/>
      <c r="P64" s="336"/>
      <c r="Q64" s="342"/>
      <c r="R64" s="345"/>
      <c r="S64" s="345"/>
    </row>
    <row r="65" spans="1:19" s="313" customFormat="1" ht="11.25">
      <c r="A65" s="337" t="s">
        <v>966</v>
      </c>
      <c r="B65" s="332">
        <v>0</v>
      </c>
      <c r="C65" s="332">
        <v>0</v>
      </c>
      <c r="D65" s="333"/>
      <c r="E65" s="334"/>
      <c r="F65" s="334"/>
      <c r="G65" s="335"/>
      <c r="H65" s="336"/>
      <c r="I65" s="336"/>
      <c r="J65" s="335"/>
      <c r="K65" s="342"/>
      <c r="L65" s="342"/>
      <c r="M65" s="336"/>
      <c r="N65" s="336"/>
      <c r="O65" s="336"/>
      <c r="P65" s="336"/>
      <c r="Q65" s="342"/>
      <c r="R65" s="345">
        <v>29</v>
      </c>
      <c r="S65" s="333">
        <f t="shared" si="9"/>
        <v>-100</v>
      </c>
    </row>
    <row r="66" spans="1:19" s="313" customFormat="1" ht="12.75" customHeight="1">
      <c r="A66" s="337" t="s">
        <v>967</v>
      </c>
      <c r="B66" s="332">
        <v>1427</v>
      </c>
      <c r="C66" s="332">
        <v>906</v>
      </c>
      <c r="D66" s="333">
        <f t="shared" si="0"/>
        <v>57.505518763796914</v>
      </c>
      <c r="E66" s="329">
        <v>2000</v>
      </c>
      <c r="F66" s="329">
        <v>798</v>
      </c>
      <c r="G66" s="335">
        <v>150.6265664160401</v>
      </c>
      <c r="H66" s="336"/>
      <c r="I66" s="336"/>
      <c r="J66" s="335"/>
      <c r="K66" s="342"/>
      <c r="L66" s="342"/>
      <c r="M66" s="336"/>
      <c r="N66" s="336"/>
      <c r="O66" s="336"/>
      <c r="P66" s="336"/>
      <c r="Q66" s="342">
        <v>906</v>
      </c>
      <c r="R66" s="345">
        <v>740</v>
      </c>
      <c r="S66" s="333">
        <f t="shared" si="9"/>
        <v>22.43243243243242</v>
      </c>
    </row>
    <row r="67" spans="1:19" s="313" customFormat="1" ht="12.75" customHeight="1">
      <c r="A67" s="337" t="s">
        <v>968</v>
      </c>
      <c r="B67" s="332">
        <v>96</v>
      </c>
      <c r="C67" s="332">
        <v>308</v>
      </c>
      <c r="D67" s="333">
        <f t="shared" si="0"/>
        <v>-68.83116883116884</v>
      </c>
      <c r="E67" s="329">
        <v>55</v>
      </c>
      <c r="F67" s="329">
        <v>55</v>
      </c>
      <c r="G67" s="335">
        <v>0</v>
      </c>
      <c r="H67" s="336"/>
      <c r="I67" s="336"/>
      <c r="J67" s="335"/>
      <c r="K67" s="341">
        <v>171</v>
      </c>
      <c r="L67" s="341">
        <v>190</v>
      </c>
      <c r="M67" s="336"/>
      <c r="N67" s="336"/>
      <c r="O67" s="336"/>
      <c r="P67" s="336"/>
      <c r="Q67" s="342">
        <v>137</v>
      </c>
      <c r="R67" s="345">
        <v>120</v>
      </c>
      <c r="S67" s="333">
        <f t="shared" si="9"/>
        <v>14.166666666666657</v>
      </c>
    </row>
    <row r="68" spans="1:19" s="313" customFormat="1" ht="12.75" customHeight="1">
      <c r="A68" s="337" t="s">
        <v>969</v>
      </c>
      <c r="B68" s="332">
        <v>0</v>
      </c>
      <c r="C68" s="332">
        <v>0</v>
      </c>
      <c r="D68" s="333"/>
      <c r="E68" s="329"/>
      <c r="F68" s="329"/>
      <c r="G68" s="335"/>
      <c r="H68" s="336"/>
      <c r="I68" s="336"/>
      <c r="J68" s="335"/>
      <c r="K68" s="342"/>
      <c r="L68" s="342"/>
      <c r="M68" s="336"/>
      <c r="N68" s="336"/>
      <c r="O68" s="336"/>
      <c r="P68" s="336"/>
      <c r="Q68" s="342"/>
      <c r="R68" s="345"/>
      <c r="S68" s="345"/>
    </row>
    <row r="69" spans="1:19" s="313" customFormat="1" ht="12.75" customHeight="1">
      <c r="A69" s="337" t="s">
        <v>970</v>
      </c>
      <c r="B69" s="332">
        <v>0</v>
      </c>
      <c r="C69" s="332">
        <v>0</v>
      </c>
      <c r="D69" s="333"/>
      <c r="E69" s="329"/>
      <c r="F69" s="329"/>
      <c r="G69" s="335"/>
      <c r="H69" s="336"/>
      <c r="I69" s="336"/>
      <c r="J69" s="335"/>
      <c r="K69" s="342"/>
      <c r="L69" s="342"/>
      <c r="M69" s="336"/>
      <c r="N69" s="336"/>
      <c r="O69" s="336"/>
      <c r="P69" s="336"/>
      <c r="Q69" s="342"/>
      <c r="R69" s="345"/>
      <c r="S69" s="345"/>
    </row>
    <row r="70" spans="1:19" s="313" customFormat="1" ht="12.75" customHeight="1">
      <c r="A70" s="337" t="s">
        <v>971</v>
      </c>
      <c r="B70" s="332">
        <v>349</v>
      </c>
      <c r="C70" s="332">
        <v>983</v>
      </c>
      <c r="D70" s="333">
        <f t="shared" si="0"/>
        <v>-64.49643947100712</v>
      </c>
      <c r="E70" s="329">
        <v>650</v>
      </c>
      <c r="F70" s="329">
        <v>575</v>
      </c>
      <c r="G70" s="335">
        <v>13.043478260869565</v>
      </c>
      <c r="H70" s="336">
        <v>1600</v>
      </c>
      <c r="I70" s="336">
        <v>350</v>
      </c>
      <c r="J70" s="335">
        <f>H70/I70*100-100</f>
        <v>357.1428571428571</v>
      </c>
      <c r="K70" s="342"/>
      <c r="L70" s="342"/>
      <c r="M70" s="336"/>
      <c r="N70" s="336"/>
      <c r="O70" s="336"/>
      <c r="P70" s="336"/>
      <c r="Q70" s="342">
        <v>983</v>
      </c>
      <c r="R70" s="345">
        <v>148</v>
      </c>
      <c r="S70" s="333">
        <f>Q70/R70*100-100</f>
        <v>564.1891891891892</v>
      </c>
    </row>
    <row r="71" spans="1:19" s="313" customFormat="1" ht="12.75" customHeight="1">
      <c r="A71" s="337" t="s">
        <v>928</v>
      </c>
      <c r="B71" s="332">
        <v>186</v>
      </c>
      <c r="C71" s="332">
        <v>734</v>
      </c>
      <c r="D71" s="333">
        <f aca="true" t="shared" si="10" ref="D71:D130">B71/C71*100-100</f>
        <v>-74.65940054495913</v>
      </c>
      <c r="E71" s="329">
        <v>650</v>
      </c>
      <c r="F71" s="329">
        <v>570</v>
      </c>
      <c r="G71" s="335">
        <v>14.035087719298245</v>
      </c>
      <c r="H71" s="336">
        <v>1600</v>
      </c>
      <c r="I71" s="336">
        <v>650</v>
      </c>
      <c r="J71" s="335">
        <f>H71/I71*100-100</f>
        <v>146.15384615384616</v>
      </c>
      <c r="K71" s="342"/>
      <c r="L71" s="342"/>
      <c r="M71" s="336"/>
      <c r="N71" s="336"/>
      <c r="O71" s="336"/>
      <c r="P71" s="336"/>
      <c r="Q71" s="342">
        <v>734</v>
      </c>
      <c r="R71" s="345">
        <v>148</v>
      </c>
      <c r="S71" s="333">
        <f>Q71/R71*100-100</f>
        <v>395.94594594594594</v>
      </c>
    </row>
    <row r="72" spans="1:19" s="313" customFormat="1" ht="12.75" customHeight="1">
      <c r="A72" s="337" t="s">
        <v>924</v>
      </c>
      <c r="B72" s="332">
        <v>54</v>
      </c>
      <c r="C72" s="332">
        <v>60</v>
      </c>
      <c r="D72" s="333">
        <f t="shared" si="10"/>
        <v>-10</v>
      </c>
      <c r="E72" s="329"/>
      <c r="F72" s="329"/>
      <c r="G72" s="335"/>
      <c r="H72" s="336"/>
      <c r="I72" s="336"/>
      <c r="J72" s="335"/>
      <c r="K72" s="342"/>
      <c r="L72" s="342"/>
      <c r="M72" s="336"/>
      <c r="N72" s="336"/>
      <c r="O72" s="336"/>
      <c r="P72" s="336"/>
      <c r="Q72" s="342">
        <v>60</v>
      </c>
      <c r="R72" s="345"/>
      <c r="S72" s="345"/>
    </row>
    <row r="73" spans="1:19" s="313" customFormat="1" ht="12.75" customHeight="1">
      <c r="A73" s="337" t="s">
        <v>972</v>
      </c>
      <c r="B73" s="332">
        <v>45</v>
      </c>
      <c r="C73" s="332">
        <v>60</v>
      </c>
      <c r="D73" s="333">
        <f t="shared" si="10"/>
        <v>-25</v>
      </c>
      <c r="E73" s="329"/>
      <c r="F73" s="329"/>
      <c r="G73" s="335"/>
      <c r="H73" s="336"/>
      <c r="I73" s="336"/>
      <c r="J73" s="335"/>
      <c r="K73" s="342"/>
      <c r="L73" s="342"/>
      <c r="M73" s="336"/>
      <c r="N73" s="336"/>
      <c r="O73" s="336"/>
      <c r="P73" s="336"/>
      <c r="Q73" s="342">
        <v>60</v>
      </c>
      <c r="R73" s="345"/>
      <c r="S73" s="345"/>
    </row>
    <row r="74" spans="1:19" s="313" customFormat="1" ht="12.75" customHeight="1">
      <c r="A74" s="337" t="s">
        <v>973</v>
      </c>
      <c r="B74" s="332">
        <v>43</v>
      </c>
      <c r="C74" s="332">
        <v>38</v>
      </c>
      <c r="D74" s="333">
        <f t="shared" si="10"/>
        <v>13.157894736842096</v>
      </c>
      <c r="E74" s="329"/>
      <c r="F74" s="329"/>
      <c r="G74" s="335"/>
      <c r="H74" s="336"/>
      <c r="I74" s="336"/>
      <c r="J74" s="335"/>
      <c r="K74" s="342"/>
      <c r="L74" s="342"/>
      <c r="M74" s="336"/>
      <c r="N74" s="336"/>
      <c r="O74" s="336"/>
      <c r="P74" s="336"/>
      <c r="Q74" s="342">
        <v>38</v>
      </c>
      <c r="R74" s="345"/>
      <c r="S74" s="345"/>
    </row>
    <row r="75" spans="1:19" s="313" customFormat="1" ht="12.75" customHeight="1">
      <c r="A75" s="337" t="s">
        <v>974</v>
      </c>
      <c r="B75" s="332">
        <v>21</v>
      </c>
      <c r="C75" s="332">
        <v>26</v>
      </c>
      <c r="D75" s="333">
        <f t="shared" si="10"/>
        <v>-19.230769230769226</v>
      </c>
      <c r="E75" s="329"/>
      <c r="F75" s="329"/>
      <c r="G75" s="335"/>
      <c r="H75" s="336"/>
      <c r="I75" s="336"/>
      <c r="J75" s="335"/>
      <c r="K75" s="342"/>
      <c r="L75" s="342"/>
      <c r="M75" s="336"/>
      <c r="N75" s="336"/>
      <c r="O75" s="336"/>
      <c r="P75" s="336"/>
      <c r="Q75" s="342">
        <v>26</v>
      </c>
      <c r="R75" s="345"/>
      <c r="S75" s="345"/>
    </row>
    <row r="76" spans="1:19" s="313" customFormat="1" ht="12.75" customHeight="1">
      <c r="A76" s="337" t="s">
        <v>975</v>
      </c>
      <c r="B76" s="332">
        <v>0</v>
      </c>
      <c r="C76" s="332">
        <v>65</v>
      </c>
      <c r="D76" s="333">
        <f t="shared" si="10"/>
        <v>-100</v>
      </c>
      <c r="E76" s="329">
        <v>0</v>
      </c>
      <c r="F76" s="329">
        <v>6</v>
      </c>
      <c r="G76" s="335">
        <v>-100</v>
      </c>
      <c r="H76" s="336"/>
      <c r="I76" s="336"/>
      <c r="J76" s="335"/>
      <c r="K76" s="342"/>
      <c r="L76" s="342"/>
      <c r="M76" s="336"/>
      <c r="N76" s="336"/>
      <c r="O76" s="336"/>
      <c r="P76" s="336"/>
      <c r="Q76" s="342">
        <v>65</v>
      </c>
      <c r="R76" s="345"/>
      <c r="S76" s="345"/>
    </row>
    <row r="77" spans="1:19" s="313" customFormat="1" ht="12.75" customHeight="1">
      <c r="A77" s="337" t="s">
        <v>976</v>
      </c>
      <c r="B77" s="332">
        <v>1509</v>
      </c>
      <c r="C77" s="332">
        <v>494</v>
      </c>
      <c r="D77" s="333">
        <f t="shared" si="10"/>
        <v>205.4655870445344</v>
      </c>
      <c r="E77" s="329">
        <v>100</v>
      </c>
      <c r="F77" s="329">
        <v>281</v>
      </c>
      <c r="G77" s="335">
        <v>-64.41281138790036</v>
      </c>
      <c r="H77" s="336"/>
      <c r="I77" s="336">
        <v>400</v>
      </c>
      <c r="J77" s="335">
        <f>H77/I77*100-100</f>
        <v>-100</v>
      </c>
      <c r="K77" s="342"/>
      <c r="L77" s="342"/>
      <c r="M77" s="336"/>
      <c r="N77" s="336"/>
      <c r="O77" s="336"/>
      <c r="P77" s="336"/>
      <c r="Q77" s="342">
        <v>494</v>
      </c>
      <c r="R77" s="345">
        <v>79</v>
      </c>
      <c r="S77" s="333">
        <f aca="true" t="shared" si="11" ref="S77:S81">Q77/R77*100-100</f>
        <v>525.3164556962025</v>
      </c>
    </row>
    <row r="78" spans="1:19" s="313" customFormat="1" ht="12.75" customHeight="1">
      <c r="A78" s="337" t="s">
        <v>928</v>
      </c>
      <c r="B78" s="332">
        <v>1479</v>
      </c>
      <c r="C78" s="332">
        <v>376</v>
      </c>
      <c r="D78" s="333">
        <f t="shared" si="10"/>
        <v>293.3510638297872</v>
      </c>
      <c r="E78" s="329">
        <v>100</v>
      </c>
      <c r="F78" s="329">
        <v>264</v>
      </c>
      <c r="G78" s="335">
        <v>-62.121212121212125</v>
      </c>
      <c r="H78" s="336"/>
      <c r="I78" s="336">
        <v>400</v>
      </c>
      <c r="J78" s="335">
        <f>H78/I78*100-100</f>
        <v>-100</v>
      </c>
      <c r="K78" s="342"/>
      <c r="L78" s="342"/>
      <c r="M78" s="336"/>
      <c r="N78" s="336"/>
      <c r="O78" s="336"/>
      <c r="P78" s="336"/>
      <c r="Q78" s="342">
        <v>376</v>
      </c>
      <c r="R78" s="345">
        <v>53</v>
      </c>
      <c r="S78" s="333">
        <f t="shared" si="11"/>
        <v>609.433962264151</v>
      </c>
    </row>
    <row r="79" spans="1:19" s="313" customFormat="1" ht="12.75" customHeight="1">
      <c r="A79" s="337" t="s">
        <v>977</v>
      </c>
      <c r="B79" s="332">
        <v>0</v>
      </c>
      <c r="C79" s="332">
        <v>6</v>
      </c>
      <c r="D79" s="333">
        <f t="shared" si="10"/>
        <v>-100</v>
      </c>
      <c r="E79" s="329"/>
      <c r="F79" s="329"/>
      <c r="G79" s="335"/>
      <c r="H79" s="336"/>
      <c r="I79" s="336"/>
      <c r="J79" s="335"/>
      <c r="K79" s="342"/>
      <c r="L79" s="342"/>
      <c r="M79" s="336"/>
      <c r="N79" s="336"/>
      <c r="O79" s="336"/>
      <c r="P79" s="336"/>
      <c r="Q79" s="342">
        <v>6</v>
      </c>
      <c r="R79" s="345"/>
      <c r="S79" s="345"/>
    </row>
    <row r="80" spans="1:19" s="313" customFormat="1" ht="12.75" customHeight="1">
      <c r="A80" s="337" t="s">
        <v>978</v>
      </c>
      <c r="B80" s="332">
        <v>30</v>
      </c>
      <c r="C80" s="332">
        <v>112</v>
      </c>
      <c r="D80" s="333">
        <f t="shared" si="10"/>
        <v>-73.21428571428572</v>
      </c>
      <c r="E80" s="329"/>
      <c r="F80" s="329"/>
      <c r="G80" s="335"/>
      <c r="H80" s="336"/>
      <c r="I80" s="336"/>
      <c r="J80" s="335"/>
      <c r="K80" s="342"/>
      <c r="L80" s="342"/>
      <c r="M80" s="336"/>
      <c r="N80" s="336"/>
      <c r="O80" s="336"/>
      <c r="P80" s="336"/>
      <c r="Q80" s="342">
        <v>112</v>
      </c>
      <c r="R80" s="345"/>
      <c r="S80" s="345"/>
    </row>
    <row r="81" spans="1:19" s="313" customFormat="1" ht="12.75" customHeight="1">
      <c r="A81" s="337" t="s">
        <v>979</v>
      </c>
      <c r="B81" s="332">
        <v>0</v>
      </c>
      <c r="C81" s="332">
        <v>0</v>
      </c>
      <c r="D81" s="333"/>
      <c r="E81" s="329">
        <v>17</v>
      </c>
      <c r="F81" s="329">
        <v>17</v>
      </c>
      <c r="G81" s="335">
        <v>0</v>
      </c>
      <c r="H81" s="336"/>
      <c r="I81" s="336"/>
      <c r="J81" s="335"/>
      <c r="K81" s="342"/>
      <c r="L81" s="342"/>
      <c r="M81" s="336"/>
      <c r="N81" s="336"/>
      <c r="O81" s="336"/>
      <c r="P81" s="336"/>
      <c r="Q81" s="342"/>
      <c r="R81" s="345">
        <v>26</v>
      </c>
      <c r="S81" s="333">
        <f t="shared" si="11"/>
        <v>-100</v>
      </c>
    </row>
    <row r="82" spans="1:19" s="313" customFormat="1" ht="12.75" customHeight="1">
      <c r="A82" s="337" t="s">
        <v>980</v>
      </c>
      <c r="B82" s="332">
        <v>0</v>
      </c>
      <c r="C82" s="332">
        <v>0</v>
      </c>
      <c r="D82" s="333"/>
      <c r="E82" s="329">
        <v>5</v>
      </c>
      <c r="F82" s="329">
        <v>11</v>
      </c>
      <c r="G82" s="335">
        <v>-54.54545454545454</v>
      </c>
      <c r="H82" s="336"/>
      <c r="I82" s="336"/>
      <c r="J82" s="335"/>
      <c r="K82" s="342"/>
      <c r="L82" s="342"/>
      <c r="M82" s="336"/>
      <c r="N82" s="336"/>
      <c r="O82" s="336"/>
      <c r="P82" s="336"/>
      <c r="Q82" s="342"/>
      <c r="R82" s="345"/>
      <c r="S82" s="345"/>
    </row>
    <row r="83" spans="1:19" s="313" customFormat="1" ht="12.75" customHeight="1">
      <c r="A83" s="337" t="s">
        <v>981</v>
      </c>
      <c r="B83" s="332">
        <v>0</v>
      </c>
      <c r="C83" s="332">
        <v>0</v>
      </c>
      <c r="D83" s="333"/>
      <c r="E83" s="329">
        <v>5</v>
      </c>
      <c r="F83" s="329">
        <v>11</v>
      </c>
      <c r="G83" s="335">
        <v>-54.54545454545454</v>
      </c>
      <c r="H83" s="336"/>
      <c r="I83" s="336"/>
      <c r="J83" s="335"/>
      <c r="K83" s="342"/>
      <c r="L83" s="342"/>
      <c r="M83" s="336"/>
      <c r="N83" s="336"/>
      <c r="O83" s="336"/>
      <c r="P83" s="336"/>
      <c r="Q83" s="342"/>
      <c r="R83" s="345"/>
      <c r="S83" s="345"/>
    </row>
    <row r="84" spans="1:19" s="313" customFormat="1" ht="12.75" customHeight="1">
      <c r="A84" s="337" t="s">
        <v>982</v>
      </c>
      <c r="B84" s="332">
        <v>0</v>
      </c>
      <c r="C84" s="332">
        <v>0</v>
      </c>
      <c r="D84" s="333"/>
      <c r="E84" s="329">
        <v>6</v>
      </c>
      <c r="F84" s="329">
        <v>2</v>
      </c>
      <c r="G84" s="335">
        <v>200</v>
      </c>
      <c r="H84" s="336"/>
      <c r="I84" s="336"/>
      <c r="J84" s="335"/>
      <c r="K84" s="342"/>
      <c r="L84" s="342"/>
      <c r="M84" s="336"/>
      <c r="N84" s="336"/>
      <c r="O84" s="336"/>
      <c r="P84" s="336"/>
      <c r="Q84" s="342"/>
      <c r="R84" s="345"/>
      <c r="S84" s="345"/>
    </row>
    <row r="85" spans="1:19" s="313" customFormat="1" ht="12.75" customHeight="1">
      <c r="A85" s="337" t="s">
        <v>983</v>
      </c>
      <c r="B85" s="332">
        <v>0</v>
      </c>
      <c r="C85" s="332">
        <v>0</v>
      </c>
      <c r="D85" s="333"/>
      <c r="E85" s="329">
        <v>6</v>
      </c>
      <c r="F85" s="329">
        <v>2</v>
      </c>
      <c r="G85" s="335">
        <v>200</v>
      </c>
      <c r="H85" s="336"/>
      <c r="I85" s="336"/>
      <c r="J85" s="335"/>
      <c r="K85" s="342"/>
      <c r="L85" s="342"/>
      <c r="M85" s="336"/>
      <c r="N85" s="336"/>
      <c r="O85" s="336"/>
      <c r="P85" s="336"/>
      <c r="Q85" s="342"/>
      <c r="R85" s="345"/>
      <c r="S85" s="345"/>
    </row>
    <row r="86" spans="1:19" s="313" customFormat="1" ht="12.75" customHeight="1">
      <c r="A86" s="337" t="s">
        <v>984</v>
      </c>
      <c r="B86" s="332">
        <v>1</v>
      </c>
      <c r="C86" s="332">
        <v>3</v>
      </c>
      <c r="D86" s="333">
        <f t="shared" si="10"/>
        <v>-66.66666666666667</v>
      </c>
      <c r="E86" s="329"/>
      <c r="F86" s="329"/>
      <c r="G86" s="335"/>
      <c r="H86" s="336"/>
      <c r="I86" s="336"/>
      <c r="J86" s="335"/>
      <c r="K86" s="342"/>
      <c r="L86" s="342"/>
      <c r="M86" s="336"/>
      <c r="N86" s="336"/>
      <c r="O86" s="336"/>
      <c r="P86" s="336"/>
      <c r="Q86" s="342">
        <v>3</v>
      </c>
      <c r="R86" s="345"/>
      <c r="S86" s="345"/>
    </row>
    <row r="87" spans="1:19" s="313" customFormat="1" ht="12.75" customHeight="1">
      <c r="A87" s="337" t="s">
        <v>924</v>
      </c>
      <c r="B87" s="332">
        <v>1</v>
      </c>
      <c r="C87" s="332">
        <v>3</v>
      </c>
      <c r="D87" s="333">
        <f t="shared" si="10"/>
        <v>-66.66666666666667</v>
      </c>
      <c r="E87" s="329"/>
      <c r="F87" s="329"/>
      <c r="G87" s="335"/>
      <c r="H87" s="336"/>
      <c r="I87" s="336"/>
      <c r="J87" s="335"/>
      <c r="K87" s="342"/>
      <c r="L87" s="342"/>
      <c r="M87" s="336"/>
      <c r="N87" s="336"/>
      <c r="O87" s="336"/>
      <c r="P87" s="336"/>
      <c r="Q87" s="342">
        <v>3</v>
      </c>
      <c r="R87" s="345"/>
      <c r="S87" s="345"/>
    </row>
    <row r="88" spans="1:19" ht="14.25">
      <c r="A88" s="337" t="s">
        <v>985</v>
      </c>
      <c r="B88" s="332">
        <v>226</v>
      </c>
      <c r="C88" s="332">
        <v>149</v>
      </c>
      <c r="D88" s="333">
        <f t="shared" si="10"/>
        <v>51.6778523489933</v>
      </c>
      <c r="E88" s="329">
        <v>400</v>
      </c>
      <c r="F88" s="329">
        <v>52</v>
      </c>
      <c r="G88" s="335">
        <v>669.2307692307693</v>
      </c>
      <c r="H88" s="336"/>
      <c r="I88" s="336"/>
      <c r="J88" s="335"/>
      <c r="K88" s="342"/>
      <c r="L88" s="342"/>
      <c r="M88" s="336"/>
      <c r="N88" s="336"/>
      <c r="O88" s="336"/>
      <c r="P88" s="336"/>
      <c r="Q88" s="342">
        <v>149</v>
      </c>
      <c r="R88" s="345">
        <v>188</v>
      </c>
      <c r="S88" s="333">
        <f aca="true" t="shared" si="12" ref="S88:S91">Q88/R88*100-100</f>
        <v>-20.744680851063833</v>
      </c>
    </row>
    <row r="89" spans="1:19" ht="14.25">
      <c r="A89" s="337" t="s">
        <v>986</v>
      </c>
      <c r="B89" s="332">
        <v>226</v>
      </c>
      <c r="C89" s="332">
        <v>149</v>
      </c>
      <c r="D89" s="333">
        <f t="shared" si="10"/>
        <v>51.6778523489933</v>
      </c>
      <c r="E89" s="329">
        <v>400</v>
      </c>
      <c r="F89" s="329">
        <v>52</v>
      </c>
      <c r="G89" s="335">
        <v>669.2307692307693</v>
      </c>
      <c r="H89" s="336"/>
      <c r="I89" s="336"/>
      <c r="J89" s="335"/>
      <c r="K89" s="342"/>
      <c r="L89" s="342"/>
      <c r="M89" s="336"/>
      <c r="N89" s="336"/>
      <c r="O89" s="336"/>
      <c r="P89" s="336"/>
      <c r="Q89" s="342">
        <v>149</v>
      </c>
      <c r="R89" s="345">
        <v>188</v>
      </c>
      <c r="S89" s="333">
        <f t="shared" si="12"/>
        <v>-20.744680851063833</v>
      </c>
    </row>
    <row r="90" spans="1:19" ht="14.25">
      <c r="A90" s="337" t="s">
        <v>987</v>
      </c>
      <c r="B90" s="332">
        <v>468</v>
      </c>
      <c r="C90" s="332">
        <v>69</v>
      </c>
      <c r="D90" s="333">
        <f t="shared" si="10"/>
        <v>578.2608695652174</v>
      </c>
      <c r="E90" s="329">
        <v>20</v>
      </c>
      <c r="F90" s="329">
        <v>13</v>
      </c>
      <c r="G90" s="335">
        <v>53.84615384615385</v>
      </c>
      <c r="H90" s="336"/>
      <c r="I90" s="336"/>
      <c r="J90" s="335"/>
      <c r="K90" s="342"/>
      <c r="L90" s="342"/>
      <c r="M90" s="336"/>
      <c r="N90" s="336"/>
      <c r="O90" s="336"/>
      <c r="P90" s="336"/>
      <c r="Q90" s="342">
        <v>69</v>
      </c>
      <c r="R90" s="345">
        <v>36</v>
      </c>
      <c r="S90" s="333">
        <f t="shared" si="12"/>
        <v>91.66666666666669</v>
      </c>
    </row>
    <row r="91" spans="1:19" ht="14.25">
      <c r="A91" s="337" t="s">
        <v>928</v>
      </c>
      <c r="B91" s="332">
        <v>20</v>
      </c>
      <c r="C91" s="332">
        <v>3</v>
      </c>
      <c r="D91" s="333">
        <f t="shared" si="10"/>
        <v>566.6666666666667</v>
      </c>
      <c r="E91" s="329"/>
      <c r="F91" s="329"/>
      <c r="G91" s="335"/>
      <c r="H91" s="336"/>
      <c r="I91" s="336"/>
      <c r="J91" s="335"/>
      <c r="K91" s="342"/>
      <c r="L91" s="342"/>
      <c r="M91" s="336"/>
      <c r="N91" s="336"/>
      <c r="O91" s="336"/>
      <c r="P91" s="336"/>
      <c r="Q91" s="342">
        <v>3</v>
      </c>
      <c r="R91" s="345">
        <v>22</v>
      </c>
      <c r="S91" s="333">
        <f t="shared" si="12"/>
        <v>-86.36363636363636</v>
      </c>
    </row>
    <row r="92" spans="1:19" ht="14.25">
      <c r="A92" s="337" t="s">
        <v>924</v>
      </c>
      <c r="B92" s="332">
        <v>0</v>
      </c>
      <c r="C92" s="332">
        <v>0</v>
      </c>
      <c r="D92" s="333"/>
      <c r="E92" s="329">
        <v>20</v>
      </c>
      <c r="F92" s="329">
        <v>13</v>
      </c>
      <c r="G92" s="335">
        <v>53.84615384615385</v>
      </c>
      <c r="H92" s="336"/>
      <c r="I92" s="336"/>
      <c r="J92" s="335"/>
      <c r="K92" s="342"/>
      <c r="L92" s="342"/>
      <c r="M92" s="336"/>
      <c r="N92" s="336"/>
      <c r="O92" s="336"/>
      <c r="P92" s="336"/>
      <c r="Q92" s="342"/>
      <c r="R92" s="345"/>
      <c r="S92" s="345"/>
    </row>
    <row r="93" spans="1:19" ht="14.25">
      <c r="A93" s="337" t="s">
        <v>988</v>
      </c>
      <c r="B93" s="332">
        <v>448</v>
      </c>
      <c r="C93" s="332">
        <v>66</v>
      </c>
      <c r="D93" s="333">
        <f t="shared" si="10"/>
        <v>578.7878787878788</v>
      </c>
      <c r="E93" s="329"/>
      <c r="F93" s="329"/>
      <c r="G93" s="335"/>
      <c r="H93" s="336"/>
      <c r="I93" s="336"/>
      <c r="J93" s="335"/>
      <c r="K93" s="342"/>
      <c r="L93" s="342"/>
      <c r="M93" s="336"/>
      <c r="N93" s="336"/>
      <c r="O93" s="336"/>
      <c r="P93" s="336"/>
      <c r="Q93" s="342">
        <v>66</v>
      </c>
      <c r="R93" s="345">
        <v>14</v>
      </c>
      <c r="S93" s="333">
        <f aca="true" t="shared" si="13" ref="S93:S100">Q93/R93*100-100</f>
        <v>371.42857142857144</v>
      </c>
    </row>
    <row r="94" spans="1:19" ht="14.25">
      <c r="A94" s="337" t="s">
        <v>989</v>
      </c>
      <c r="B94" s="332">
        <v>708</v>
      </c>
      <c r="C94" s="332">
        <v>323</v>
      </c>
      <c r="D94" s="333">
        <f t="shared" si="10"/>
        <v>119.19504643962847</v>
      </c>
      <c r="E94" s="329">
        <v>800</v>
      </c>
      <c r="F94" s="329">
        <v>402</v>
      </c>
      <c r="G94" s="335">
        <v>99.00497512437812</v>
      </c>
      <c r="H94" s="336"/>
      <c r="I94" s="336"/>
      <c r="J94" s="335"/>
      <c r="K94" s="342"/>
      <c r="L94" s="342"/>
      <c r="M94" s="336"/>
      <c r="N94" s="336"/>
      <c r="O94" s="336"/>
      <c r="P94" s="336"/>
      <c r="Q94" s="342">
        <v>323</v>
      </c>
      <c r="R94" s="345">
        <v>161</v>
      </c>
      <c r="S94" s="333">
        <f t="shared" si="13"/>
        <v>100.62111801242236</v>
      </c>
    </row>
    <row r="95" spans="1:19" ht="14.25">
      <c r="A95" s="337" t="s">
        <v>990</v>
      </c>
      <c r="B95" s="332">
        <v>708</v>
      </c>
      <c r="C95" s="332">
        <v>323</v>
      </c>
      <c r="D95" s="333">
        <f t="shared" si="10"/>
        <v>119.19504643962847</v>
      </c>
      <c r="E95" s="329">
        <v>800</v>
      </c>
      <c r="F95" s="329">
        <v>402</v>
      </c>
      <c r="G95" s="335">
        <v>99.00497512437812</v>
      </c>
      <c r="H95" s="336"/>
      <c r="I95" s="336"/>
      <c r="J95" s="335"/>
      <c r="K95" s="342"/>
      <c r="L95" s="342"/>
      <c r="M95" s="336"/>
      <c r="N95" s="336"/>
      <c r="O95" s="336"/>
      <c r="P95" s="336"/>
      <c r="Q95" s="342">
        <v>323</v>
      </c>
      <c r="R95" s="345">
        <v>161</v>
      </c>
      <c r="S95" s="333">
        <f t="shared" si="13"/>
        <v>100.62111801242236</v>
      </c>
    </row>
    <row r="96" spans="1:19" ht="14.25">
      <c r="A96" s="337" t="s">
        <v>991</v>
      </c>
      <c r="B96" s="332">
        <v>0</v>
      </c>
      <c r="C96" s="332">
        <v>0</v>
      </c>
      <c r="D96" s="333"/>
      <c r="E96" s="329"/>
      <c r="F96" s="329"/>
      <c r="G96" s="335"/>
      <c r="H96" s="336"/>
      <c r="I96" s="336"/>
      <c r="J96" s="335"/>
      <c r="K96" s="342"/>
      <c r="L96" s="342"/>
      <c r="M96" s="336"/>
      <c r="N96" s="336"/>
      <c r="O96" s="336"/>
      <c r="P96" s="336"/>
      <c r="Q96" s="342"/>
      <c r="R96" s="345">
        <v>146</v>
      </c>
      <c r="S96" s="333">
        <f t="shared" si="13"/>
        <v>-100</v>
      </c>
    </row>
    <row r="97" spans="1:19" ht="14.25">
      <c r="A97" s="337" t="s">
        <v>992</v>
      </c>
      <c r="B97" s="332">
        <v>0</v>
      </c>
      <c r="C97" s="332">
        <v>0</v>
      </c>
      <c r="D97" s="333"/>
      <c r="E97" s="329"/>
      <c r="F97" s="329"/>
      <c r="G97" s="335"/>
      <c r="H97" s="336"/>
      <c r="I97" s="336"/>
      <c r="J97" s="335"/>
      <c r="K97" s="342"/>
      <c r="L97" s="342"/>
      <c r="M97" s="336"/>
      <c r="N97" s="336"/>
      <c r="O97" s="336"/>
      <c r="P97" s="336"/>
      <c r="Q97" s="342"/>
      <c r="R97" s="345">
        <v>146</v>
      </c>
      <c r="S97" s="333">
        <f t="shared" si="13"/>
        <v>-100</v>
      </c>
    </row>
    <row r="98" spans="1:19" ht="14.25">
      <c r="A98" s="337" t="s">
        <v>993</v>
      </c>
      <c r="B98" s="332">
        <v>0</v>
      </c>
      <c r="C98" s="332">
        <v>90</v>
      </c>
      <c r="D98" s="333">
        <f t="shared" si="10"/>
        <v>-100</v>
      </c>
      <c r="E98" s="329">
        <v>24</v>
      </c>
      <c r="F98" s="329">
        <v>24</v>
      </c>
      <c r="G98" s="335">
        <v>0</v>
      </c>
      <c r="H98" s="336"/>
      <c r="I98" s="336"/>
      <c r="J98" s="335"/>
      <c r="K98" s="341">
        <v>9</v>
      </c>
      <c r="L98" s="341">
        <v>10</v>
      </c>
      <c r="M98" s="336"/>
      <c r="N98" s="336"/>
      <c r="O98" s="336"/>
      <c r="P98" s="336"/>
      <c r="Q98" s="342">
        <v>81</v>
      </c>
      <c r="R98" s="345">
        <v>165</v>
      </c>
      <c r="S98" s="333">
        <f t="shared" si="13"/>
        <v>-50.90909090909091</v>
      </c>
    </row>
    <row r="99" spans="1:19" ht="14.25">
      <c r="A99" s="337" t="s">
        <v>928</v>
      </c>
      <c r="B99" s="332">
        <v>0</v>
      </c>
      <c r="C99" s="332">
        <v>51</v>
      </c>
      <c r="D99" s="333">
        <f t="shared" si="10"/>
        <v>-100</v>
      </c>
      <c r="E99" s="329"/>
      <c r="F99" s="329"/>
      <c r="G99" s="335"/>
      <c r="H99" s="336"/>
      <c r="I99" s="336"/>
      <c r="J99" s="335"/>
      <c r="K99" s="342"/>
      <c r="L99" s="342"/>
      <c r="M99" s="336"/>
      <c r="N99" s="336"/>
      <c r="O99" s="336"/>
      <c r="P99" s="336"/>
      <c r="Q99" s="342">
        <v>51</v>
      </c>
      <c r="R99" s="345">
        <v>155</v>
      </c>
      <c r="S99" s="333">
        <f t="shared" si="13"/>
        <v>-67.09677419354838</v>
      </c>
    </row>
    <row r="100" spans="1:19" ht="14.25">
      <c r="A100" s="337" t="s">
        <v>994</v>
      </c>
      <c r="B100" s="332">
        <v>0</v>
      </c>
      <c r="C100" s="332">
        <v>39</v>
      </c>
      <c r="D100" s="333">
        <f t="shared" si="10"/>
        <v>-100</v>
      </c>
      <c r="E100" s="329">
        <v>24</v>
      </c>
      <c r="F100" s="329">
        <v>24</v>
      </c>
      <c r="G100" s="335">
        <v>0</v>
      </c>
      <c r="H100" s="336"/>
      <c r="I100" s="336"/>
      <c r="J100" s="335"/>
      <c r="K100" s="341">
        <v>9</v>
      </c>
      <c r="L100" s="341">
        <v>10</v>
      </c>
      <c r="M100" s="336"/>
      <c r="N100" s="336"/>
      <c r="O100" s="336"/>
      <c r="P100" s="336"/>
      <c r="Q100" s="342">
        <v>30</v>
      </c>
      <c r="R100" s="345">
        <v>10</v>
      </c>
      <c r="S100" s="333">
        <f t="shared" si="13"/>
        <v>200</v>
      </c>
    </row>
    <row r="101" spans="1:19" ht="14.25">
      <c r="A101" s="337" t="s">
        <v>995</v>
      </c>
      <c r="B101" s="332">
        <v>111</v>
      </c>
      <c r="C101" s="332">
        <v>36</v>
      </c>
      <c r="D101" s="333">
        <f t="shared" si="10"/>
        <v>208.33333333333337</v>
      </c>
      <c r="E101" s="329"/>
      <c r="F101" s="329"/>
      <c r="G101" s="335"/>
      <c r="H101" s="336">
        <v>1000</v>
      </c>
      <c r="I101" s="336">
        <v>400</v>
      </c>
      <c r="J101" s="335">
        <f>H101/I101*100-100</f>
        <v>150</v>
      </c>
      <c r="K101" s="341">
        <v>36</v>
      </c>
      <c r="L101" s="341">
        <v>40</v>
      </c>
      <c r="M101" s="336"/>
      <c r="N101" s="336"/>
      <c r="O101" s="336"/>
      <c r="P101" s="336"/>
      <c r="Q101" s="342"/>
      <c r="R101" s="345"/>
      <c r="S101" s="345"/>
    </row>
    <row r="102" spans="1:19" ht="14.25">
      <c r="A102" s="337" t="s">
        <v>996</v>
      </c>
      <c r="B102" s="332">
        <v>91</v>
      </c>
      <c r="C102" s="332">
        <v>36</v>
      </c>
      <c r="D102" s="333">
        <f t="shared" si="10"/>
        <v>152.77777777777777</v>
      </c>
      <c r="E102" s="329"/>
      <c r="F102" s="329"/>
      <c r="G102" s="335"/>
      <c r="H102" s="336">
        <v>1000</v>
      </c>
      <c r="I102" s="336">
        <v>400</v>
      </c>
      <c r="J102" s="335">
        <f>H102/I102*100-100</f>
        <v>150</v>
      </c>
      <c r="K102" s="341">
        <v>36</v>
      </c>
      <c r="L102" s="341">
        <v>40</v>
      </c>
      <c r="M102" s="336"/>
      <c r="N102" s="336"/>
      <c r="O102" s="336"/>
      <c r="P102" s="336"/>
      <c r="Q102" s="342"/>
      <c r="R102" s="345"/>
      <c r="S102" s="345"/>
    </row>
    <row r="103" spans="1:19" ht="14.25">
      <c r="A103" s="331" t="s">
        <v>997</v>
      </c>
      <c r="B103" s="332">
        <v>0</v>
      </c>
      <c r="C103" s="332">
        <v>0</v>
      </c>
      <c r="D103" s="333"/>
      <c r="E103" s="329"/>
      <c r="F103" s="329"/>
      <c r="G103" s="335"/>
      <c r="H103" s="336"/>
      <c r="I103" s="336"/>
      <c r="J103" s="335"/>
      <c r="K103" s="342"/>
      <c r="L103" s="342"/>
      <c r="M103" s="336"/>
      <c r="N103" s="336"/>
      <c r="O103" s="336"/>
      <c r="P103" s="336"/>
      <c r="Q103" s="342"/>
      <c r="R103" s="345"/>
      <c r="S103" s="345"/>
    </row>
    <row r="104" spans="1:19" ht="14.25">
      <c r="A104" s="331" t="s">
        <v>998</v>
      </c>
      <c r="B104" s="332">
        <v>18</v>
      </c>
      <c r="C104" s="332">
        <v>47</v>
      </c>
      <c r="D104" s="333">
        <f t="shared" si="10"/>
        <v>-61.702127659574465</v>
      </c>
      <c r="E104" s="329">
        <v>23</v>
      </c>
      <c r="F104" s="329">
        <v>23</v>
      </c>
      <c r="G104" s="335">
        <v>0</v>
      </c>
      <c r="H104" s="336"/>
      <c r="I104" s="336"/>
      <c r="J104" s="335"/>
      <c r="K104" s="342"/>
      <c r="L104" s="342"/>
      <c r="M104" s="336"/>
      <c r="N104" s="336"/>
      <c r="O104" s="336"/>
      <c r="P104" s="336"/>
      <c r="Q104" s="342">
        <v>47</v>
      </c>
      <c r="R104" s="345"/>
      <c r="S104" s="345"/>
    </row>
    <row r="105" spans="1:19" ht="14.25">
      <c r="A105" s="337" t="s">
        <v>999</v>
      </c>
      <c r="B105" s="332">
        <v>0</v>
      </c>
      <c r="C105" s="332">
        <v>47</v>
      </c>
      <c r="D105" s="333">
        <f t="shared" si="10"/>
        <v>-100</v>
      </c>
      <c r="E105" s="329"/>
      <c r="F105" s="329"/>
      <c r="G105" s="335"/>
      <c r="H105" s="336"/>
      <c r="I105" s="336"/>
      <c r="J105" s="335"/>
      <c r="K105" s="342"/>
      <c r="L105" s="342"/>
      <c r="M105" s="336"/>
      <c r="N105" s="336"/>
      <c r="O105" s="336"/>
      <c r="P105" s="336"/>
      <c r="Q105" s="342">
        <v>47</v>
      </c>
      <c r="R105" s="345"/>
      <c r="S105" s="345"/>
    </row>
    <row r="106" spans="1:19" ht="14.25">
      <c r="A106" s="337" t="s">
        <v>1000</v>
      </c>
      <c r="B106" s="332">
        <v>5</v>
      </c>
      <c r="C106" s="332">
        <v>3</v>
      </c>
      <c r="D106" s="333">
        <f t="shared" si="10"/>
        <v>66.66666666666669</v>
      </c>
      <c r="E106" s="329"/>
      <c r="F106" s="329"/>
      <c r="G106" s="335"/>
      <c r="H106" s="336"/>
      <c r="I106" s="336"/>
      <c r="J106" s="335"/>
      <c r="K106" s="342"/>
      <c r="L106" s="342"/>
      <c r="M106" s="336"/>
      <c r="N106" s="336"/>
      <c r="O106" s="336"/>
      <c r="P106" s="336"/>
      <c r="Q106" s="342">
        <v>3</v>
      </c>
      <c r="R106" s="345"/>
      <c r="S106" s="345"/>
    </row>
    <row r="107" spans="1:19" ht="14.25">
      <c r="A107" s="337" t="s">
        <v>1001</v>
      </c>
      <c r="B107" s="332">
        <v>0</v>
      </c>
      <c r="C107" s="332">
        <v>20</v>
      </c>
      <c r="D107" s="333">
        <f t="shared" si="10"/>
        <v>-100</v>
      </c>
      <c r="E107" s="329"/>
      <c r="F107" s="329"/>
      <c r="G107" s="335"/>
      <c r="H107" s="336"/>
      <c r="I107" s="336"/>
      <c r="J107" s="335"/>
      <c r="K107" s="342"/>
      <c r="L107" s="342"/>
      <c r="M107" s="336"/>
      <c r="N107" s="336"/>
      <c r="O107" s="336"/>
      <c r="P107" s="336"/>
      <c r="Q107" s="342">
        <v>20</v>
      </c>
      <c r="R107" s="345"/>
      <c r="S107" s="345"/>
    </row>
    <row r="108" spans="1:19" ht="14.25">
      <c r="A108" s="337" t="s">
        <v>1002</v>
      </c>
      <c r="B108" s="332">
        <v>13</v>
      </c>
      <c r="C108" s="332">
        <v>24</v>
      </c>
      <c r="D108" s="333">
        <f t="shared" si="10"/>
        <v>-45.833333333333336</v>
      </c>
      <c r="E108" s="329"/>
      <c r="F108" s="329"/>
      <c r="G108" s="335"/>
      <c r="H108" s="336"/>
      <c r="I108" s="336"/>
      <c r="J108" s="335"/>
      <c r="K108" s="342"/>
      <c r="L108" s="342"/>
      <c r="M108" s="336"/>
      <c r="N108" s="336"/>
      <c r="O108" s="336"/>
      <c r="P108" s="336"/>
      <c r="Q108" s="342">
        <v>24</v>
      </c>
      <c r="R108" s="345"/>
      <c r="S108" s="345"/>
    </row>
    <row r="109" spans="1:19" ht="14.25">
      <c r="A109" s="337" t="s">
        <v>1003</v>
      </c>
      <c r="B109" s="332">
        <v>0</v>
      </c>
      <c r="C109" s="332">
        <v>0</v>
      </c>
      <c r="D109" s="333"/>
      <c r="E109" s="329">
        <v>23</v>
      </c>
      <c r="F109" s="329">
        <v>23</v>
      </c>
      <c r="G109" s="335">
        <v>0</v>
      </c>
      <c r="H109" s="336"/>
      <c r="I109" s="336"/>
      <c r="J109" s="335"/>
      <c r="K109" s="342"/>
      <c r="L109" s="342"/>
      <c r="M109" s="336"/>
      <c r="N109" s="336"/>
      <c r="O109" s="336"/>
      <c r="P109" s="336"/>
      <c r="Q109" s="342"/>
      <c r="R109" s="345"/>
      <c r="S109" s="345"/>
    </row>
    <row r="110" spans="1:19" ht="14.25">
      <c r="A110" s="331" t="s">
        <v>1004</v>
      </c>
      <c r="B110" s="332">
        <v>13899.2</v>
      </c>
      <c r="C110" s="332">
        <v>9612</v>
      </c>
      <c r="D110" s="333">
        <f t="shared" si="10"/>
        <v>44.60258010819808</v>
      </c>
      <c r="E110" s="329">
        <v>14137</v>
      </c>
      <c r="F110" s="329">
        <v>11070</v>
      </c>
      <c r="G110" s="335">
        <v>27.705510388437215</v>
      </c>
      <c r="H110" s="336">
        <f>H111+H113+H120+H125+H131</f>
        <v>19105</v>
      </c>
      <c r="I110" s="336">
        <v>10320</v>
      </c>
      <c r="J110" s="335">
        <f aca="true" t="shared" si="14" ref="J110:J114">H110/I110*100-100</f>
        <v>85.12596899224806</v>
      </c>
      <c r="K110" s="341">
        <v>1331</v>
      </c>
      <c r="L110" s="341">
        <v>1157</v>
      </c>
      <c r="M110" s="336"/>
      <c r="N110" s="336"/>
      <c r="O110" s="336"/>
      <c r="P110" s="336"/>
      <c r="Q110" s="342">
        <v>8281</v>
      </c>
      <c r="R110" s="345">
        <v>13072</v>
      </c>
      <c r="S110" s="333">
        <f aca="true" t="shared" si="15" ref="S110:S114">Q110/R110*100-100</f>
        <v>-36.65085679314566</v>
      </c>
    </row>
    <row r="111" spans="1:19" ht="14.25">
      <c r="A111" s="337" t="s">
        <v>1005</v>
      </c>
      <c r="B111" s="332">
        <v>1260.3</v>
      </c>
      <c r="C111" s="332">
        <v>1413</v>
      </c>
      <c r="D111" s="333">
        <f t="shared" si="10"/>
        <v>-10.806794055201706</v>
      </c>
      <c r="E111" s="329">
        <v>1166</v>
      </c>
      <c r="F111" s="329">
        <v>1166</v>
      </c>
      <c r="G111" s="335">
        <v>0</v>
      </c>
      <c r="H111" s="336">
        <v>2000</v>
      </c>
      <c r="I111" s="336">
        <v>1200</v>
      </c>
      <c r="J111" s="335">
        <f t="shared" si="14"/>
        <v>66.66666666666669</v>
      </c>
      <c r="K111" s="347">
        <v>352</v>
      </c>
      <c r="L111" s="341">
        <v>306</v>
      </c>
      <c r="M111" s="336"/>
      <c r="N111" s="336"/>
      <c r="O111" s="336"/>
      <c r="P111" s="336"/>
      <c r="Q111" s="342">
        <v>1061</v>
      </c>
      <c r="R111" s="345">
        <v>3672</v>
      </c>
      <c r="S111" s="333">
        <f t="shared" si="15"/>
        <v>-71.10566448801742</v>
      </c>
    </row>
    <row r="112" spans="1:19" ht="14.25">
      <c r="A112" s="337" t="s">
        <v>1006</v>
      </c>
      <c r="B112" s="332">
        <v>1260.3</v>
      </c>
      <c r="C112" s="332">
        <v>1413</v>
      </c>
      <c r="D112" s="333">
        <f t="shared" si="10"/>
        <v>-10.806794055201706</v>
      </c>
      <c r="E112" s="329">
        <v>1166</v>
      </c>
      <c r="F112" s="329">
        <v>1166</v>
      </c>
      <c r="G112" s="335">
        <v>0</v>
      </c>
      <c r="H112" s="336">
        <v>2000</v>
      </c>
      <c r="I112" s="336">
        <v>1200</v>
      </c>
      <c r="J112" s="335">
        <f t="shared" si="14"/>
        <v>66.66666666666669</v>
      </c>
      <c r="K112" s="347">
        <v>352</v>
      </c>
      <c r="L112" s="341">
        <v>306</v>
      </c>
      <c r="M112" s="336"/>
      <c r="N112" s="336"/>
      <c r="O112" s="336"/>
      <c r="P112" s="336"/>
      <c r="Q112" s="342">
        <v>1061</v>
      </c>
      <c r="R112" s="345">
        <v>3672</v>
      </c>
      <c r="S112" s="333">
        <f t="shared" si="15"/>
        <v>-71.10566448801742</v>
      </c>
    </row>
    <row r="113" spans="1:19" ht="14.25">
      <c r="A113" s="337" t="s">
        <v>1007</v>
      </c>
      <c r="B113" s="332">
        <v>9316.8</v>
      </c>
      <c r="C113" s="332">
        <v>5740</v>
      </c>
      <c r="D113" s="333">
        <f t="shared" si="10"/>
        <v>62.3135888501742</v>
      </c>
      <c r="E113" s="329">
        <v>10450</v>
      </c>
      <c r="F113" s="329">
        <v>7662</v>
      </c>
      <c r="G113" s="335">
        <v>36.3873662229183</v>
      </c>
      <c r="H113" s="336">
        <v>17000</v>
      </c>
      <c r="I113" s="336">
        <v>9000</v>
      </c>
      <c r="J113" s="335">
        <f t="shared" si="14"/>
        <v>88.88888888888889</v>
      </c>
      <c r="K113" s="347">
        <v>979</v>
      </c>
      <c r="L113" s="341">
        <v>851</v>
      </c>
      <c r="M113" s="336"/>
      <c r="N113" s="336"/>
      <c r="O113" s="336"/>
      <c r="P113" s="336"/>
      <c r="Q113" s="342">
        <v>4761</v>
      </c>
      <c r="R113" s="345">
        <v>6392</v>
      </c>
      <c r="S113" s="333">
        <f t="shared" si="15"/>
        <v>-25.516270337922393</v>
      </c>
    </row>
    <row r="114" spans="1:19" ht="14.25">
      <c r="A114" s="337" t="s">
        <v>928</v>
      </c>
      <c r="B114" s="332">
        <v>7169</v>
      </c>
      <c r="C114" s="332">
        <v>4021</v>
      </c>
      <c r="D114" s="333">
        <f t="shared" si="10"/>
        <v>78.28898284008955</v>
      </c>
      <c r="E114" s="329">
        <v>4500</v>
      </c>
      <c r="F114" s="329">
        <v>4177</v>
      </c>
      <c r="G114" s="335">
        <v>7.732822599952119</v>
      </c>
      <c r="H114" s="336">
        <v>17000</v>
      </c>
      <c r="I114" s="336">
        <v>9000</v>
      </c>
      <c r="J114" s="335">
        <f t="shared" si="14"/>
        <v>88.88888888888889</v>
      </c>
      <c r="K114" s="342"/>
      <c r="L114" s="342"/>
      <c r="M114" s="336"/>
      <c r="N114" s="336"/>
      <c r="O114" s="336"/>
      <c r="P114" s="336"/>
      <c r="Q114" s="342">
        <v>4021</v>
      </c>
      <c r="R114" s="345">
        <v>6392</v>
      </c>
      <c r="S114" s="333">
        <f t="shared" si="15"/>
        <v>-37.093241551939926</v>
      </c>
    </row>
    <row r="115" spans="1:19" ht="14.25">
      <c r="A115" s="337" t="s">
        <v>1008</v>
      </c>
      <c r="B115" s="332">
        <v>55</v>
      </c>
      <c r="C115" s="332">
        <v>50</v>
      </c>
      <c r="D115" s="333">
        <f t="shared" si="10"/>
        <v>10.000000000000014</v>
      </c>
      <c r="E115" s="329"/>
      <c r="F115" s="329"/>
      <c r="G115" s="335"/>
      <c r="H115" s="336"/>
      <c r="I115" s="336"/>
      <c r="J115" s="335"/>
      <c r="K115" s="342"/>
      <c r="L115" s="342"/>
      <c r="M115" s="336"/>
      <c r="N115" s="336"/>
      <c r="O115" s="336"/>
      <c r="P115" s="336"/>
      <c r="Q115" s="342">
        <v>50</v>
      </c>
      <c r="R115" s="345"/>
      <c r="S115" s="345"/>
    </row>
    <row r="116" spans="1:19" ht="14.25">
      <c r="A116" s="337" t="s">
        <v>1009</v>
      </c>
      <c r="B116" s="332">
        <v>905</v>
      </c>
      <c r="C116" s="332">
        <v>0</v>
      </c>
      <c r="D116" s="333"/>
      <c r="E116" s="329">
        <v>950</v>
      </c>
      <c r="F116" s="329">
        <v>238</v>
      </c>
      <c r="G116" s="335">
        <v>299.15966386554624</v>
      </c>
      <c r="H116" s="336"/>
      <c r="I116" s="336"/>
      <c r="J116" s="335"/>
      <c r="K116" s="342"/>
      <c r="L116" s="342"/>
      <c r="M116" s="336"/>
      <c r="N116" s="336"/>
      <c r="O116" s="336"/>
      <c r="P116" s="336"/>
      <c r="Q116" s="342"/>
      <c r="R116" s="345"/>
      <c r="S116" s="345"/>
    </row>
    <row r="117" spans="1:19" ht="14.25">
      <c r="A117" s="337" t="s">
        <v>1010</v>
      </c>
      <c r="B117" s="332">
        <v>0</v>
      </c>
      <c r="C117" s="332">
        <v>230</v>
      </c>
      <c r="D117" s="333">
        <f t="shared" si="10"/>
        <v>-100</v>
      </c>
      <c r="E117" s="329"/>
      <c r="F117" s="329"/>
      <c r="G117" s="335"/>
      <c r="H117" s="336"/>
      <c r="I117" s="336"/>
      <c r="J117" s="335"/>
      <c r="K117" s="342"/>
      <c r="L117" s="342"/>
      <c r="M117" s="336"/>
      <c r="N117" s="336"/>
      <c r="O117" s="336"/>
      <c r="P117" s="336"/>
      <c r="Q117" s="342">
        <v>230</v>
      </c>
      <c r="R117" s="345"/>
      <c r="S117" s="345"/>
    </row>
    <row r="118" spans="1:19" ht="14.25">
      <c r="A118" s="337" t="s">
        <v>1011</v>
      </c>
      <c r="B118" s="332">
        <v>0</v>
      </c>
      <c r="C118" s="332">
        <v>11</v>
      </c>
      <c r="D118" s="333">
        <f t="shared" si="10"/>
        <v>-100</v>
      </c>
      <c r="E118" s="329"/>
      <c r="F118" s="329"/>
      <c r="G118" s="335"/>
      <c r="H118" s="336"/>
      <c r="I118" s="336"/>
      <c r="J118" s="335"/>
      <c r="K118" s="342"/>
      <c r="L118" s="342"/>
      <c r="M118" s="336"/>
      <c r="N118" s="336"/>
      <c r="O118" s="336"/>
      <c r="P118" s="336"/>
      <c r="Q118" s="342">
        <v>11</v>
      </c>
      <c r="R118" s="345"/>
      <c r="S118" s="345"/>
    </row>
    <row r="119" spans="1:19" ht="14.25">
      <c r="A119" s="337" t="s">
        <v>1012</v>
      </c>
      <c r="B119" s="332">
        <v>1187.8</v>
      </c>
      <c r="C119" s="332">
        <v>1428</v>
      </c>
      <c r="D119" s="333">
        <f t="shared" si="10"/>
        <v>-16.820728291316527</v>
      </c>
      <c r="E119" s="329">
        <v>5000</v>
      </c>
      <c r="F119" s="329">
        <v>3247</v>
      </c>
      <c r="G119" s="335">
        <v>53.988296889436405</v>
      </c>
      <c r="H119" s="336"/>
      <c r="I119" s="336"/>
      <c r="J119" s="335"/>
      <c r="K119" s="347">
        <v>979</v>
      </c>
      <c r="L119" s="341">
        <v>851</v>
      </c>
      <c r="M119" s="336"/>
      <c r="N119" s="336"/>
      <c r="O119" s="336"/>
      <c r="P119" s="336"/>
      <c r="Q119" s="342">
        <v>449</v>
      </c>
      <c r="R119" s="345"/>
      <c r="S119" s="345"/>
    </row>
    <row r="120" spans="1:19" ht="14.25">
      <c r="A120" s="337" t="s">
        <v>1013</v>
      </c>
      <c r="B120" s="332">
        <v>1279</v>
      </c>
      <c r="C120" s="332">
        <v>1251</v>
      </c>
      <c r="D120" s="333">
        <f t="shared" si="10"/>
        <v>2.2382094324540276</v>
      </c>
      <c r="E120" s="329">
        <v>840</v>
      </c>
      <c r="F120" s="329">
        <v>618</v>
      </c>
      <c r="G120" s="335">
        <v>35.92233009708738</v>
      </c>
      <c r="H120" s="336">
        <v>25</v>
      </c>
      <c r="I120" s="336">
        <v>25</v>
      </c>
      <c r="J120" s="335">
        <f aca="true" t="shared" si="16" ref="J120:J126">H120/I120*100-100</f>
        <v>0</v>
      </c>
      <c r="K120" s="342"/>
      <c r="L120" s="342"/>
      <c r="M120" s="336"/>
      <c r="N120" s="336"/>
      <c r="O120" s="336"/>
      <c r="P120" s="336"/>
      <c r="Q120" s="342">
        <v>1251</v>
      </c>
      <c r="R120" s="345">
        <v>1471</v>
      </c>
      <c r="S120" s="333">
        <f aca="true" t="shared" si="17" ref="S120:S123">Q120/R120*100-100</f>
        <v>-14.95581237253569</v>
      </c>
    </row>
    <row r="121" spans="1:19" ht="14.25">
      <c r="A121" s="337" t="s">
        <v>928</v>
      </c>
      <c r="B121" s="332">
        <v>1247</v>
      </c>
      <c r="C121" s="332">
        <v>1130</v>
      </c>
      <c r="D121" s="333">
        <f t="shared" si="10"/>
        <v>10.353982300884951</v>
      </c>
      <c r="E121" s="329">
        <v>340</v>
      </c>
      <c r="F121" s="329">
        <v>572</v>
      </c>
      <c r="G121" s="335">
        <v>-40.55944055944056</v>
      </c>
      <c r="H121" s="336">
        <v>25</v>
      </c>
      <c r="I121" s="336">
        <v>25</v>
      </c>
      <c r="J121" s="335">
        <f t="shared" si="16"/>
        <v>0</v>
      </c>
      <c r="K121" s="342"/>
      <c r="L121" s="342"/>
      <c r="M121" s="336"/>
      <c r="N121" s="336"/>
      <c r="O121" s="336"/>
      <c r="P121" s="336"/>
      <c r="Q121" s="342">
        <v>1130</v>
      </c>
      <c r="R121" s="345">
        <v>1271</v>
      </c>
      <c r="S121" s="333">
        <f t="shared" si="17"/>
        <v>-11.093627065302911</v>
      </c>
    </row>
    <row r="122" spans="1:19" ht="14.25">
      <c r="A122" s="337" t="s">
        <v>1014</v>
      </c>
      <c r="B122" s="332">
        <v>32</v>
      </c>
      <c r="C122" s="332">
        <v>12</v>
      </c>
      <c r="D122" s="333">
        <f t="shared" si="10"/>
        <v>166.66666666666663</v>
      </c>
      <c r="E122" s="329"/>
      <c r="F122" s="329"/>
      <c r="G122" s="335"/>
      <c r="H122" s="336"/>
      <c r="I122" s="336"/>
      <c r="J122" s="335"/>
      <c r="K122" s="342"/>
      <c r="L122" s="342"/>
      <c r="M122" s="336"/>
      <c r="N122" s="336"/>
      <c r="O122" s="336"/>
      <c r="P122" s="336"/>
      <c r="Q122" s="342">
        <v>12</v>
      </c>
      <c r="R122" s="345"/>
      <c r="S122" s="345"/>
    </row>
    <row r="123" spans="1:19" ht="14.25">
      <c r="A123" s="337" t="s">
        <v>1015</v>
      </c>
      <c r="B123" s="332">
        <v>0</v>
      </c>
      <c r="C123" s="332">
        <v>0</v>
      </c>
      <c r="D123" s="333"/>
      <c r="E123" s="329"/>
      <c r="F123" s="329"/>
      <c r="G123" s="335"/>
      <c r="H123" s="336"/>
      <c r="I123" s="336"/>
      <c r="J123" s="335"/>
      <c r="K123" s="342"/>
      <c r="L123" s="342"/>
      <c r="M123" s="336"/>
      <c r="N123" s="336"/>
      <c r="O123" s="336"/>
      <c r="P123" s="336"/>
      <c r="Q123" s="342"/>
      <c r="R123" s="345">
        <v>200</v>
      </c>
      <c r="S123" s="333">
        <f t="shared" si="17"/>
        <v>-100</v>
      </c>
    </row>
    <row r="124" spans="1:19" ht="14.25">
      <c r="A124" s="337" t="s">
        <v>1016</v>
      </c>
      <c r="B124" s="332">
        <v>0</v>
      </c>
      <c r="C124" s="332">
        <v>109</v>
      </c>
      <c r="D124" s="333">
        <f t="shared" si="10"/>
        <v>-100</v>
      </c>
      <c r="E124" s="329">
        <v>500</v>
      </c>
      <c r="F124" s="329">
        <v>46</v>
      </c>
      <c r="G124" s="335">
        <v>986.9565217391305</v>
      </c>
      <c r="H124" s="336"/>
      <c r="I124" s="336"/>
      <c r="J124" s="335"/>
      <c r="K124" s="342"/>
      <c r="L124" s="342"/>
      <c r="M124" s="336"/>
      <c r="N124" s="336"/>
      <c r="O124" s="336"/>
      <c r="P124" s="336"/>
      <c r="Q124" s="342">
        <v>109</v>
      </c>
      <c r="R124" s="345"/>
      <c r="S124" s="345"/>
    </row>
    <row r="125" spans="1:19" ht="14.25">
      <c r="A125" s="337" t="s">
        <v>1017</v>
      </c>
      <c r="B125" s="332">
        <v>1959</v>
      </c>
      <c r="C125" s="332">
        <v>1204</v>
      </c>
      <c r="D125" s="333">
        <f t="shared" si="10"/>
        <v>62.7076411960133</v>
      </c>
      <c r="E125" s="329">
        <v>1553</v>
      </c>
      <c r="F125" s="329">
        <v>1553</v>
      </c>
      <c r="G125" s="335">
        <v>0</v>
      </c>
      <c r="H125" s="336">
        <v>50</v>
      </c>
      <c r="I125" s="336">
        <v>65</v>
      </c>
      <c r="J125" s="335">
        <f t="shared" si="16"/>
        <v>-23.076923076923066</v>
      </c>
      <c r="K125" s="342"/>
      <c r="L125" s="342"/>
      <c r="M125" s="336"/>
      <c r="N125" s="336"/>
      <c r="O125" s="336"/>
      <c r="P125" s="336"/>
      <c r="Q125" s="342">
        <v>1204</v>
      </c>
      <c r="R125" s="345">
        <v>1537</v>
      </c>
      <c r="S125" s="333">
        <f aca="true" t="shared" si="18" ref="S125:S129">Q125/R125*100-100</f>
        <v>-21.665582303188017</v>
      </c>
    </row>
    <row r="126" spans="1:19" ht="14.25">
      <c r="A126" s="337" t="s">
        <v>928</v>
      </c>
      <c r="B126" s="332">
        <v>1553</v>
      </c>
      <c r="C126" s="332">
        <v>1060</v>
      </c>
      <c r="D126" s="333">
        <f t="shared" si="10"/>
        <v>46.509433962264154</v>
      </c>
      <c r="E126" s="329">
        <v>807</v>
      </c>
      <c r="F126" s="329">
        <v>807</v>
      </c>
      <c r="G126" s="335">
        <v>0</v>
      </c>
      <c r="H126" s="336">
        <v>50</v>
      </c>
      <c r="I126" s="336">
        <v>65</v>
      </c>
      <c r="J126" s="335">
        <f t="shared" si="16"/>
        <v>-23.076923076923066</v>
      </c>
      <c r="K126" s="342"/>
      <c r="L126" s="342"/>
      <c r="M126" s="336"/>
      <c r="N126" s="336"/>
      <c r="O126" s="336"/>
      <c r="P126" s="336"/>
      <c r="Q126" s="342">
        <v>1060</v>
      </c>
      <c r="R126" s="345">
        <v>1337</v>
      </c>
      <c r="S126" s="333">
        <f t="shared" si="18"/>
        <v>-20.718025430067314</v>
      </c>
    </row>
    <row r="127" spans="1:19" ht="14.25">
      <c r="A127" s="337" t="s">
        <v>924</v>
      </c>
      <c r="B127" s="332">
        <v>406</v>
      </c>
      <c r="C127" s="332"/>
      <c r="D127" s="333"/>
      <c r="E127" s="329"/>
      <c r="F127" s="329"/>
      <c r="G127" s="335"/>
      <c r="H127" s="336"/>
      <c r="I127" s="336"/>
      <c r="J127" s="335"/>
      <c r="K127" s="342"/>
      <c r="L127" s="342"/>
      <c r="M127" s="336"/>
      <c r="N127" s="336"/>
      <c r="O127" s="336"/>
      <c r="P127" s="336"/>
      <c r="Q127" s="342"/>
      <c r="R127" s="345"/>
      <c r="S127" s="333"/>
    </row>
    <row r="128" spans="1:19" ht="14.25">
      <c r="A128" s="337" t="s">
        <v>1018</v>
      </c>
      <c r="B128" s="332">
        <v>0</v>
      </c>
      <c r="C128" s="332">
        <v>0</v>
      </c>
      <c r="D128" s="333"/>
      <c r="E128" s="329">
        <v>17</v>
      </c>
      <c r="F128" s="329">
        <v>17</v>
      </c>
      <c r="G128" s="335">
        <v>0</v>
      </c>
      <c r="H128" s="336"/>
      <c r="I128" s="336"/>
      <c r="J128" s="335"/>
      <c r="K128" s="342"/>
      <c r="L128" s="342"/>
      <c r="M128" s="336"/>
      <c r="N128" s="336"/>
      <c r="O128" s="336"/>
      <c r="P128" s="336"/>
      <c r="Q128" s="342"/>
      <c r="R128" s="345"/>
      <c r="S128" s="345"/>
    </row>
    <row r="129" spans="1:19" ht="14.25">
      <c r="A129" s="337" t="s">
        <v>1019</v>
      </c>
      <c r="B129" s="332">
        <v>0</v>
      </c>
      <c r="C129" s="332">
        <v>0</v>
      </c>
      <c r="D129" s="333"/>
      <c r="E129" s="329"/>
      <c r="F129" s="329"/>
      <c r="G129" s="335"/>
      <c r="H129" s="336"/>
      <c r="I129" s="336"/>
      <c r="J129" s="335"/>
      <c r="K129" s="342"/>
      <c r="L129" s="342"/>
      <c r="M129" s="336"/>
      <c r="N129" s="336"/>
      <c r="O129" s="336"/>
      <c r="P129" s="336"/>
      <c r="Q129" s="342"/>
      <c r="R129" s="345">
        <v>200</v>
      </c>
      <c r="S129" s="333">
        <f t="shared" si="18"/>
        <v>-100</v>
      </c>
    </row>
    <row r="130" spans="1:19" ht="14.25">
      <c r="A130" s="337" t="s">
        <v>1020</v>
      </c>
      <c r="B130" s="332">
        <v>0</v>
      </c>
      <c r="C130" s="332">
        <v>144</v>
      </c>
      <c r="D130" s="333">
        <f t="shared" si="10"/>
        <v>-100</v>
      </c>
      <c r="E130" s="329">
        <v>729</v>
      </c>
      <c r="F130" s="329">
        <v>729</v>
      </c>
      <c r="G130" s="335">
        <v>0</v>
      </c>
      <c r="H130" s="336"/>
      <c r="I130" s="336"/>
      <c r="J130" s="335"/>
      <c r="K130" s="342"/>
      <c r="L130" s="342"/>
      <c r="M130" s="336"/>
      <c r="N130" s="336"/>
      <c r="O130" s="336"/>
      <c r="P130" s="336"/>
      <c r="Q130" s="342">
        <v>144</v>
      </c>
      <c r="R130" s="345"/>
      <c r="S130" s="345"/>
    </row>
    <row r="131" spans="1:19" ht="14.25">
      <c r="A131" s="337" t="s">
        <v>1021</v>
      </c>
      <c r="B131" s="332">
        <v>83</v>
      </c>
      <c r="C131" s="332">
        <v>0</v>
      </c>
      <c r="D131" s="333"/>
      <c r="E131" s="329">
        <v>128</v>
      </c>
      <c r="F131" s="329">
        <v>72</v>
      </c>
      <c r="G131" s="335">
        <v>77.77777777777779</v>
      </c>
      <c r="H131" s="336">
        <v>30</v>
      </c>
      <c r="I131" s="336">
        <v>30</v>
      </c>
      <c r="J131" s="335">
        <f>H131/I131*100-100</f>
        <v>0</v>
      </c>
      <c r="K131" s="342"/>
      <c r="L131" s="342"/>
      <c r="M131" s="336"/>
      <c r="N131" s="336"/>
      <c r="O131" s="336"/>
      <c r="P131" s="336"/>
      <c r="Q131" s="342"/>
      <c r="R131" s="345"/>
      <c r="S131" s="345"/>
    </row>
    <row r="132" spans="1:19" ht="14.25">
      <c r="A132" s="337" t="s">
        <v>928</v>
      </c>
      <c r="B132" s="332">
        <v>83</v>
      </c>
      <c r="C132" s="332">
        <v>0</v>
      </c>
      <c r="D132" s="333"/>
      <c r="E132" s="329"/>
      <c r="F132" s="329"/>
      <c r="G132" s="335"/>
      <c r="H132" s="336">
        <v>30</v>
      </c>
      <c r="I132" s="336">
        <v>30</v>
      </c>
      <c r="J132" s="335">
        <f>H132/I132*100-100</f>
        <v>0</v>
      </c>
      <c r="K132" s="342"/>
      <c r="L132" s="342"/>
      <c r="M132" s="336"/>
      <c r="N132" s="336"/>
      <c r="O132" s="336"/>
      <c r="P132" s="336"/>
      <c r="Q132" s="342"/>
      <c r="R132" s="345"/>
      <c r="S132" s="345"/>
    </row>
    <row r="133" spans="1:19" ht="14.25">
      <c r="A133" s="337" t="s">
        <v>924</v>
      </c>
      <c r="B133" s="332">
        <v>0</v>
      </c>
      <c r="C133" s="332">
        <v>0</v>
      </c>
      <c r="D133" s="333"/>
      <c r="E133" s="329">
        <v>18</v>
      </c>
      <c r="F133" s="329">
        <v>17</v>
      </c>
      <c r="G133" s="335">
        <v>5.88235294117647</v>
      </c>
      <c r="H133" s="336"/>
      <c r="I133" s="336"/>
      <c r="J133" s="335"/>
      <c r="K133" s="342"/>
      <c r="L133" s="342"/>
      <c r="M133" s="336"/>
      <c r="N133" s="336"/>
      <c r="O133" s="336"/>
      <c r="P133" s="336"/>
      <c r="Q133" s="342"/>
      <c r="R133" s="345"/>
      <c r="S133" s="345"/>
    </row>
    <row r="134" spans="1:19" ht="14.25">
      <c r="A134" s="337" t="s">
        <v>1022</v>
      </c>
      <c r="B134" s="332">
        <v>0</v>
      </c>
      <c r="C134" s="332">
        <v>0</v>
      </c>
      <c r="D134" s="333"/>
      <c r="E134" s="329">
        <v>35</v>
      </c>
      <c r="F134" s="329">
        <v>24</v>
      </c>
      <c r="G134" s="335">
        <v>45.83333333333333</v>
      </c>
      <c r="H134" s="336"/>
      <c r="I134" s="336"/>
      <c r="J134" s="335"/>
      <c r="K134" s="342"/>
      <c r="L134" s="342"/>
      <c r="M134" s="336"/>
      <c r="N134" s="336"/>
      <c r="O134" s="336"/>
      <c r="P134" s="336"/>
      <c r="Q134" s="342"/>
      <c r="R134" s="345"/>
      <c r="S134" s="345"/>
    </row>
    <row r="135" spans="1:19" ht="14.25">
      <c r="A135" s="337" t="s">
        <v>1023</v>
      </c>
      <c r="B135" s="332">
        <v>0</v>
      </c>
      <c r="C135" s="332">
        <v>0</v>
      </c>
      <c r="D135" s="333"/>
      <c r="E135" s="329">
        <v>20</v>
      </c>
      <c r="F135" s="329">
        <v>12</v>
      </c>
      <c r="G135" s="335">
        <v>66.66666666666666</v>
      </c>
      <c r="H135" s="336"/>
      <c r="I135" s="336"/>
      <c r="J135" s="335"/>
      <c r="K135" s="342"/>
      <c r="L135" s="342"/>
      <c r="M135" s="336"/>
      <c r="N135" s="336"/>
      <c r="O135" s="336"/>
      <c r="P135" s="336"/>
      <c r="Q135" s="342"/>
      <c r="R135" s="345"/>
      <c r="S135" s="345"/>
    </row>
    <row r="136" spans="1:19" ht="14.25">
      <c r="A136" s="337" t="s">
        <v>1024</v>
      </c>
      <c r="B136" s="332">
        <v>0</v>
      </c>
      <c r="C136" s="332">
        <v>0</v>
      </c>
      <c r="D136" s="333"/>
      <c r="E136" s="329">
        <v>5</v>
      </c>
      <c r="F136" s="329">
        <v>3</v>
      </c>
      <c r="G136" s="335">
        <v>66.66666666666666</v>
      </c>
      <c r="H136" s="336"/>
      <c r="I136" s="336"/>
      <c r="J136" s="335"/>
      <c r="K136" s="342"/>
      <c r="L136" s="342"/>
      <c r="M136" s="336"/>
      <c r="N136" s="336"/>
      <c r="O136" s="336"/>
      <c r="P136" s="336"/>
      <c r="Q136" s="342"/>
      <c r="R136" s="345"/>
      <c r="S136" s="345"/>
    </row>
    <row r="137" spans="1:19" ht="14.25">
      <c r="A137" s="337" t="s">
        <v>1025</v>
      </c>
      <c r="B137" s="332">
        <v>0</v>
      </c>
      <c r="C137" s="332">
        <v>4</v>
      </c>
      <c r="D137" s="333">
        <f aca="true" t="shared" si="19" ref="D137:D198">B137/C137*100-100</f>
        <v>-100</v>
      </c>
      <c r="E137" s="329">
        <v>50</v>
      </c>
      <c r="F137" s="329">
        <v>15</v>
      </c>
      <c r="G137" s="335">
        <v>233.33333333333334</v>
      </c>
      <c r="H137" s="336"/>
      <c r="I137" s="336"/>
      <c r="J137" s="335"/>
      <c r="K137" s="342"/>
      <c r="L137" s="342"/>
      <c r="M137" s="336"/>
      <c r="N137" s="336"/>
      <c r="O137" s="336"/>
      <c r="P137" s="336"/>
      <c r="Q137" s="342">
        <v>4</v>
      </c>
      <c r="R137" s="345"/>
      <c r="S137" s="345"/>
    </row>
    <row r="138" spans="1:19" ht="14.25">
      <c r="A138" s="337" t="s">
        <v>1026</v>
      </c>
      <c r="B138" s="332">
        <v>0</v>
      </c>
      <c r="C138" s="332">
        <v>0</v>
      </c>
      <c r="D138" s="333"/>
      <c r="E138" s="329"/>
      <c r="F138" s="329"/>
      <c r="G138" s="335"/>
      <c r="H138" s="336"/>
      <c r="I138" s="336"/>
      <c r="J138" s="335"/>
      <c r="K138" s="342"/>
      <c r="L138" s="342"/>
      <c r="M138" s="336"/>
      <c r="N138" s="336"/>
      <c r="O138" s="336"/>
      <c r="P138" s="336"/>
      <c r="Q138" s="342"/>
      <c r="R138" s="345"/>
      <c r="S138" s="345"/>
    </row>
    <row r="139" spans="1:19" ht="14.25">
      <c r="A139" s="331" t="s">
        <v>1027</v>
      </c>
      <c r="B139" s="332">
        <v>18740.4</v>
      </c>
      <c r="C139" s="332">
        <v>12894</v>
      </c>
      <c r="D139" s="333">
        <f t="shared" si="19"/>
        <v>45.34201954397395</v>
      </c>
      <c r="E139" s="329">
        <v>21840</v>
      </c>
      <c r="F139" s="329">
        <v>20159</v>
      </c>
      <c r="G139" s="335">
        <v>8.338707277146684</v>
      </c>
      <c r="H139" s="336">
        <v>44000</v>
      </c>
      <c r="I139" s="336">
        <v>30500</v>
      </c>
      <c r="J139" s="335">
        <f>H139/I139*100-100</f>
        <v>44.26229508196721</v>
      </c>
      <c r="K139" s="347">
        <v>1915</v>
      </c>
      <c r="L139" s="341">
        <v>1665</v>
      </c>
      <c r="M139" s="336"/>
      <c r="N139" s="336"/>
      <c r="O139" s="336"/>
      <c r="P139" s="336"/>
      <c r="Q139" s="342">
        <v>10979</v>
      </c>
      <c r="R139" s="345">
        <v>16657</v>
      </c>
      <c r="S139" s="333">
        <f aca="true" t="shared" si="20" ref="S139:S141">Q139/R139*100-100</f>
        <v>-34.08777090712614</v>
      </c>
    </row>
    <row r="140" spans="1:19" ht="14.25">
      <c r="A140" s="337" t="s">
        <v>1028</v>
      </c>
      <c r="B140" s="332">
        <v>103</v>
      </c>
      <c r="C140" s="332">
        <v>539</v>
      </c>
      <c r="D140" s="333">
        <f t="shared" si="19"/>
        <v>-80.89053803339517</v>
      </c>
      <c r="E140" s="329">
        <v>304</v>
      </c>
      <c r="F140" s="329">
        <v>304</v>
      </c>
      <c r="G140" s="335">
        <v>0</v>
      </c>
      <c r="H140" s="336"/>
      <c r="I140" s="336"/>
      <c r="J140" s="335"/>
      <c r="K140" s="347">
        <v>9</v>
      </c>
      <c r="L140" s="341">
        <v>8</v>
      </c>
      <c r="M140" s="336"/>
      <c r="N140" s="336"/>
      <c r="O140" s="336"/>
      <c r="P140" s="336"/>
      <c r="Q140" s="342">
        <v>530</v>
      </c>
      <c r="R140" s="345">
        <v>1089</v>
      </c>
      <c r="S140" s="333">
        <f t="shared" si="20"/>
        <v>-51.331496786042244</v>
      </c>
    </row>
    <row r="141" spans="1:19" ht="14.25">
      <c r="A141" s="337" t="s">
        <v>928</v>
      </c>
      <c r="B141" s="332">
        <v>0</v>
      </c>
      <c r="C141" s="332">
        <v>160</v>
      </c>
      <c r="D141" s="333">
        <f t="shared" si="19"/>
        <v>-100</v>
      </c>
      <c r="E141" s="329"/>
      <c r="F141" s="329"/>
      <c r="G141" s="335"/>
      <c r="H141" s="336"/>
      <c r="I141" s="336"/>
      <c r="J141" s="335"/>
      <c r="K141" s="342"/>
      <c r="L141" s="342"/>
      <c r="M141" s="336"/>
      <c r="N141" s="336"/>
      <c r="O141" s="336"/>
      <c r="P141" s="336"/>
      <c r="Q141" s="342">
        <v>160</v>
      </c>
      <c r="R141" s="345">
        <v>232</v>
      </c>
      <c r="S141" s="333">
        <f t="shared" si="20"/>
        <v>-31.034482758620683</v>
      </c>
    </row>
    <row r="142" spans="1:19" ht="14.25">
      <c r="A142" s="337" t="s">
        <v>924</v>
      </c>
      <c r="B142" s="332">
        <v>0</v>
      </c>
      <c r="C142" s="332">
        <v>0</v>
      </c>
      <c r="D142" s="333"/>
      <c r="E142" s="329">
        <v>304</v>
      </c>
      <c r="F142" s="329">
        <v>304</v>
      </c>
      <c r="G142" s="335">
        <v>0</v>
      </c>
      <c r="H142" s="336"/>
      <c r="I142" s="336"/>
      <c r="J142" s="335"/>
      <c r="K142" s="342"/>
      <c r="L142" s="342"/>
      <c r="M142" s="336"/>
      <c r="N142" s="336"/>
      <c r="O142" s="336"/>
      <c r="P142" s="336"/>
      <c r="Q142" s="342"/>
      <c r="R142" s="345"/>
      <c r="S142" s="345"/>
    </row>
    <row r="143" spans="1:19" ht="14.25">
      <c r="A143" s="337" t="s">
        <v>1029</v>
      </c>
      <c r="B143" s="332">
        <v>0</v>
      </c>
      <c r="C143" s="332">
        <v>379</v>
      </c>
      <c r="D143" s="333">
        <f t="shared" si="19"/>
        <v>-100</v>
      </c>
      <c r="E143" s="329"/>
      <c r="F143" s="329"/>
      <c r="G143" s="335"/>
      <c r="H143" s="336"/>
      <c r="I143" s="336"/>
      <c r="J143" s="335"/>
      <c r="K143" s="347">
        <v>9</v>
      </c>
      <c r="L143" s="341">
        <v>8</v>
      </c>
      <c r="M143" s="336"/>
      <c r="N143" s="336"/>
      <c r="O143" s="336"/>
      <c r="P143" s="336"/>
      <c r="Q143" s="342">
        <v>370</v>
      </c>
      <c r="R143" s="345">
        <v>857</v>
      </c>
      <c r="S143" s="333">
        <f aca="true" t="shared" si="21" ref="S143:S147">Q143/R143*100-100</f>
        <v>-56.82613768961494</v>
      </c>
    </row>
    <row r="144" spans="1:19" ht="14.25">
      <c r="A144" s="337" t="s">
        <v>1030</v>
      </c>
      <c r="B144" s="332">
        <v>13830.4</v>
      </c>
      <c r="C144" s="332">
        <v>9685</v>
      </c>
      <c r="D144" s="333">
        <f t="shared" si="19"/>
        <v>42.802271553949396</v>
      </c>
      <c r="E144" s="329">
        <v>16280</v>
      </c>
      <c r="F144" s="329">
        <v>15329</v>
      </c>
      <c r="G144" s="335">
        <v>6.203927196816491</v>
      </c>
      <c r="H144" s="336">
        <v>39000</v>
      </c>
      <c r="I144" s="336">
        <v>27000</v>
      </c>
      <c r="J144" s="335">
        <f aca="true" t="shared" si="22" ref="J144:J147">H144/I144*100-100</f>
        <v>44.44444444444443</v>
      </c>
      <c r="K144" s="347">
        <v>1906</v>
      </c>
      <c r="L144" s="341">
        <v>1657</v>
      </c>
      <c r="M144" s="336"/>
      <c r="N144" s="336"/>
      <c r="O144" s="336"/>
      <c r="P144" s="336"/>
      <c r="Q144" s="342">
        <v>7779</v>
      </c>
      <c r="R144" s="345">
        <v>5607</v>
      </c>
      <c r="S144" s="333">
        <f t="shared" si="21"/>
        <v>38.73729266987692</v>
      </c>
    </row>
    <row r="145" spans="1:19" ht="14.25">
      <c r="A145" s="337" t="s">
        <v>1031</v>
      </c>
      <c r="B145" s="332">
        <v>17</v>
      </c>
      <c r="C145" s="332">
        <v>120</v>
      </c>
      <c r="D145" s="333">
        <f t="shared" si="19"/>
        <v>-85.83333333333333</v>
      </c>
      <c r="E145" s="329">
        <v>80</v>
      </c>
      <c r="F145" s="329">
        <v>76</v>
      </c>
      <c r="G145" s="335">
        <v>5.263157894736842</v>
      </c>
      <c r="H145" s="336">
        <v>3000</v>
      </c>
      <c r="I145" s="336">
        <v>4000</v>
      </c>
      <c r="J145" s="335">
        <f t="shared" si="22"/>
        <v>-25</v>
      </c>
      <c r="K145" s="342"/>
      <c r="L145" s="342"/>
      <c r="M145" s="336"/>
      <c r="N145" s="336"/>
      <c r="O145" s="336"/>
      <c r="P145" s="336"/>
      <c r="Q145" s="342">
        <v>120</v>
      </c>
      <c r="R145" s="345">
        <v>18</v>
      </c>
      <c r="S145" s="333">
        <f t="shared" si="21"/>
        <v>566.6666666666667</v>
      </c>
    </row>
    <row r="146" spans="1:19" ht="14.25">
      <c r="A146" s="337" t="s">
        <v>1032</v>
      </c>
      <c r="B146" s="332">
        <v>7593.5</v>
      </c>
      <c r="C146" s="332">
        <v>5351</v>
      </c>
      <c r="D146" s="333">
        <f t="shared" si="19"/>
        <v>41.9080545692394</v>
      </c>
      <c r="E146" s="329">
        <v>9500</v>
      </c>
      <c r="F146" s="329">
        <v>9143</v>
      </c>
      <c r="G146" s="335">
        <v>3.9046264902110903</v>
      </c>
      <c r="H146" s="336">
        <v>18000</v>
      </c>
      <c r="I146" s="336">
        <v>12000</v>
      </c>
      <c r="J146" s="335">
        <f t="shared" si="22"/>
        <v>50</v>
      </c>
      <c r="K146" s="347">
        <v>1048</v>
      </c>
      <c r="L146" s="341">
        <v>911</v>
      </c>
      <c r="M146" s="336"/>
      <c r="N146" s="336"/>
      <c r="O146" s="336"/>
      <c r="P146" s="336"/>
      <c r="Q146" s="342">
        <v>4303</v>
      </c>
      <c r="R146" s="345">
        <v>2903</v>
      </c>
      <c r="S146" s="333">
        <f t="shared" si="21"/>
        <v>48.22597313124356</v>
      </c>
    </row>
    <row r="147" spans="1:19" ht="14.25">
      <c r="A147" s="337" t="s">
        <v>1033</v>
      </c>
      <c r="B147" s="332">
        <v>6219.9</v>
      </c>
      <c r="C147" s="332">
        <v>4214</v>
      </c>
      <c r="D147" s="333">
        <f t="shared" si="19"/>
        <v>47.60085429520643</v>
      </c>
      <c r="E147" s="329">
        <v>4100</v>
      </c>
      <c r="F147" s="329">
        <v>3777</v>
      </c>
      <c r="G147" s="335">
        <v>8.551760656605772</v>
      </c>
      <c r="H147" s="336">
        <v>7000</v>
      </c>
      <c r="I147" s="336">
        <v>11000</v>
      </c>
      <c r="J147" s="335">
        <f t="shared" si="22"/>
        <v>-36.36363636363637</v>
      </c>
      <c r="K147" s="347">
        <v>858</v>
      </c>
      <c r="L147" s="341">
        <v>746</v>
      </c>
      <c r="M147" s="336"/>
      <c r="N147" s="336"/>
      <c r="O147" s="336"/>
      <c r="P147" s="336"/>
      <c r="Q147" s="342">
        <v>3356</v>
      </c>
      <c r="R147" s="345">
        <v>2686</v>
      </c>
      <c r="S147" s="333">
        <f t="shared" si="21"/>
        <v>24.94415487714072</v>
      </c>
    </row>
    <row r="148" spans="1:19" ht="14.25">
      <c r="A148" s="337" t="s">
        <v>1034</v>
      </c>
      <c r="B148" s="332">
        <v>0</v>
      </c>
      <c r="C148" s="332">
        <v>625</v>
      </c>
      <c r="D148" s="333">
        <f t="shared" si="19"/>
        <v>-100</v>
      </c>
      <c r="E148" s="329">
        <v>2600</v>
      </c>
      <c r="F148" s="329">
        <v>2333</v>
      </c>
      <c r="G148" s="335">
        <v>11.444492070295755</v>
      </c>
      <c r="H148" s="336">
        <v>11000</v>
      </c>
      <c r="I148" s="336"/>
      <c r="J148" s="335"/>
      <c r="K148" s="342"/>
      <c r="L148" s="342"/>
      <c r="M148" s="336"/>
      <c r="N148" s="336"/>
      <c r="O148" s="336"/>
      <c r="P148" s="336"/>
      <c r="Q148" s="342">
        <v>625</v>
      </c>
      <c r="R148" s="345"/>
      <c r="S148" s="345"/>
    </row>
    <row r="149" spans="1:19" ht="14.25">
      <c r="A149" s="337" t="s">
        <v>1035</v>
      </c>
      <c r="B149" s="332">
        <v>4000</v>
      </c>
      <c r="C149" s="332">
        <v>2000</v>
      </c>
      <c r="D149" s="333">
        <f t="shared" si="19"/>
        <v>100</v>
      </c>
      <c r="E149" s="329">
        <v>4300</v>
      </c>
      <c r="F149" s="329">
        <v>3570</v>
      </c>
      <c r="G149" s="335">
        <v>20.448179271708682</v>
      </c>
      <c r="H149" s="336">
        <v>5000</v>
      </c>
      <c r="I149" s="336">
        <v>3500</v>
      </c>
      <c r="J149" s="335">
        <f>H149/I149*100-100</f>
        <v>42.85714285714286</v>
      </c>
      <c r="K149" s="342"/>
      <c r="L149" s="342"/>
      <c r="M149" s="336"/>
      <c r="N149" s="336"/>
      <c r="O149" s="336"/>
      <c r="P149" s="336"/>
      <c r="Q149" s="342">
        <v>2000</v>
      </c>
      <c r="R149" s="345">
        <v>4061</v>
      </c>
      <c r="S149" s="333">
        <f aca="true" t="shared" si="23" ref="S149:S155">Q149/R149*100-100</f>
        <v>-50.75104654026102</v>
      </c>
    </row>
    <row r="150" spans="1:19" ht="14.25">
      <c r="A150" s="337" t="s">
        <v>1036</v>
      </c>
      <c r="B150" s="332">
        <v>0</v>
      </c>
      <c r="C150" s="332">
        <v>0</v>
      </c>
      <c r="D150" s="333"/>
      <c r="E150" s="329">
        <v>4300</v>
      </c>
      <c r="F150" s="329">
        <v>3553</v>
      </c>
      <c r="G150" s="335">
        <v>21.024486349563748</v>
      </c>
      <c r="H150" s="336"/>
      <c r="I150" s="336"/>
      <c r="J150" s="335"/>
      <c r="K150" s="342"/>
      <c r="L150" s="342"/>
      <c r="M150" s="336"/>
      <c r="N150" s="336"/>
      <c r="O150" s="336"/>
      <c r="P150" s="336"/>
      <c r="Q150" s="342"/>
      <c r="R150" s="345"/>
      <c r="S150" s="345"/>
    </row>
    <row r="151" spans="1:19" ht="14.25">
      <c r="A151" s="337" t="s">
        <v>1037</v>
      </c>
      <c r="B151" s="332">
        <v>0</v>
      </c>
      <c r="C151" s="332">
        <v>0</v>
      </c>
      <c r="D151" s="333"/>
      <c r="E151" s="329"/>
      <c r="F151" s="329"/>
      <c r="G151" s="335"/>
      <c r="H151" s="336">
        <v>5000</v>
      </c>
      <c r="I151" s="336">
        <v>3500</v>
      </c>
      <c r="J151" s="335">
        <f>H151/I151*100-100</f>
        <v>42.85714285714286</v>
      </c>
      <c r="K151" s="342"/>
      <c r="L151" s="342"/>
      <c r="M151" s="336"/>
      <c r="N151" s="336"/>
      <c r="O151" s="336"/>
      <c r="P151" s="336"/>
      <c r="Q151" s="342"/>
      <c r="R151" s="345"/>
      <c r="S151" s="345"/>
    </row>
    <row r="152" spans="1:19" ht="14.25">
      <c r="A152" s="337" t="s">
        <v>1038</v>
      </c>
      <c r="B152" s="332">
        <v>0</v>
      </c>
      <c r="C152" s="332">
        <v>0</v>
      </c>
      <c r="D152" s="333"/>
      <c r="E152" s="329"/>
      <c r="F152" s="329"/>
      <c r="G152" s="335"/>
      <c r="H152" s="336"/>
      <c r="I152" s="336"/>
      <c r="J152" s="335"/>
      <c r="K152" s="342"/>
      <c r="L152" s="342"/>
      <c r="M152" s="336"/>
      <c r="N152" s="336"/>
      <c r="O152" s="336"/>
      <c r="P152" s="336"/>
      <c r="Q152" s="342"/>
      <c r="R152" s="345"/>
      <c r="S152" s="345"/>
    </row>
    <row r="153" spans="1:19" ht="14.25">
      <c r="A153" s="337" t="s">
        <v>1039</v>
      </c>
      <c r="B153" s="332">
        <v>4000</v>
      </c>
      <c r="C153" s="332">
        <v>2000</v>
      </c>
      <c r="D153" s="333">
        <f t="shared" si="19"/>
        <v>100</v>
      </c>
      <c r="E153" s="329">
        <v>0</v>
      </c>
      <c r="F153" s="329">
        <v>17</v>
      </c>
      <c r="G153" s="335">
        <v>-100</v>
      </c>
      <c r="H153" s="336"/>
      <c r="I153" s="336"/>
      <c r="J153" s="335"/>
      <c r="K153" s="342"/>
      <c r="L153" s="342"/>
      <c r="M153" s="336"/>
      <c r="N153" s="336"/>
      <c r="O153" s="336"/>
      <c r="P153" s="336"/>
      <c r="Q153" s="342">
        <v>2000</v>
      </c>
      <c r="R153" s="345">
        <v>4061</v>
      </c>
      <c r="S153" s="333">
        <f t="shared" si="23"/>
        <v>-50.75104654026102</v>
      </c>
    </row>
    <row r="154" spans="1:19" ht="14.25">
      <c r="A154" s="337" t="s">
        <v>1040</v>
      </c>
      <c r="B154" s="332">
        <v>807</v>
      </c>
      <c r="C154" s="332">
        <v>45</v>
      </c>
      <c r="D154" s="333">
        <f t="shared" si="19"/>
        <v>1693.3333333333333</v>
      </c>
      <c r="E154" s="329">
        <v>956</v>
      </c>
      <c r="F154" s="329">
        <v>956</v>
      </c>
      <c r="G154" s="335">
        <v>0</v>
      </c>
      <c r="H154" s="336"/>
      <c r="I154" s="336"/>
      <c r="J154" s="335"/>
      <c r="K154" s="342"/>
      <c r="L154" s="342"/>
      <c r="M154" s="336"/>
      <c r="N154" s="336"/>
      <c r="O154" s="336"/>
      <c r="P154" s="336"/>
      <c r="Q154" s="342">
        <v>45</v>
      </c>
      <c r="R154" s="345">
        <v>5900</v>
      </c>
      <c r="S154" s="333">
        <f t="shared" si="23"/>
        <v>-99.23728813559322</v>
      </c>
    </row>
    <row r="155" spans="1:19" ht="14.25">
      <c r="A155" s="331" t="s">
        <v>1041</v>
      </c>
      <c r="B155" s="332">
        <v>6914</v>
      </c>
      <c r="C155" s="332">
        <v>6670</v>
      </c>
      <c r="D155" s="333">
        <f t="shared" si="19"/>
        <v>3.6581709145427226</v>
      </c>
      <c r="E155" s="329">
        <v>9752</v>
      </c>
      <c r="F155" s="329">
        <v>6893</v>
      </c>
      <c r="G155" s="335">
        <v>41.47686058320035</v>
      </c>
      <c r="H155" s="336">
        <v>700</v>
      </c>
      <c r="I155" s="336">
        <v>300</v>
      </c>
      <c r="J155" s="335">
        <f>H155/I155*100-100</f>
        <v>133.33333333333334</v>
      </c>
      <c r="K155" s="347">
        <v>98</v>
      </c>
      <c r="L155" s="341">
        <v>85</v>
      </c>
      <c r="M155" s="336"/>
      <c r="N155" s="336"/>
      <c r="O155" s="336"/>
      <c r="P155" s="336"/>
      <c r="Q155" s="342">
        <v>6572</v>
      </c>
      <c r="R155" s="345">
        <v>5378</v>
      </c>
      <c r="S155" s="333">
        <f t="shared" si="23"/>
        <v>22.201561918928974</v>
      </c>
    </row>
    <row r="156" spans="1:19" ht="14.25">
      <c r="A156" s="337" t="s">
        <v>1042</v>
      </c>
      <c r="B156" s="332">
        <v>0</v>
      </c>
      <c r="C156" s="332">
        <v>0</v>
      </c>
      <c r="D156" s="333"/>
      <c r="E156" s="329">
        <v>81</v>
      </c>
      <c r="F156" s="329">
        <v>78</v>
      </c>
      <c r="G156" s="335">
        <v>3.8461538461538463</v>
      </c>
      <c r="H156" s="336"/>
      <c r="I156" s="336"/>
      <c r="J156" s="335"/>
      <c r="K156" s="342"/>
      <c r="L156" s="342"/>
      <c r="M156" s="336"/>
      <c r="N156" s="336"/>
      <c r="O156" s="336"/>
      <c r="P156" s="336"/>
      <c r="Q156" s="342"/>
      <c r="R156" s="345"/>
      <c r="S156" s="345"/>
    </row>
    <row r="157" spans="1:19" ht="14.25">
      <c r="A157" s="337" t="s">
        <v>924</v>
      </c>
      <c r="B157" s="332">
        <v>0</v>
      </c>
      <c r="C157" s="332">
        <v>0</v>
      </c>
      <c r="D157" s="333"/>
      <c r="E157" s="329">
        <v>21</v>
      </c>
      <c r="F157" s="329">
        <v>21</v>
      </c>
      <c r="G157" s="335">
        <v>0</v>
      </c>
      <c r="H157" s="336"/>
      <c r="I157" s="336"/>
      <c r="J157" s="335"/>
      <c r="K157" s="342"/>
      <c r="L157" s="342"/>
      <c r="M157" s="336"/>
      <c r="N157" s="336"/>
      <c r="O157" s="336"/>
      <c r="P157" s="336"/>
      <c r="Q157" s="342"/>
      <c r="R157" s="345"/>
      <c r="S157" s="345"/>
    </row>
    <row r="158" spans="1:19" ht="14.25">
      <c r="A158" s="337" t="s">
        <v>1043</v>
      </c>
      <c r="B158" s="332">
        <v>0</v>
      </c>
      <c r="C158" s="332">
        <v>0</v>
      </c>
      <c r="D158" s="333"/>
      <c r="E158" s="329">
        <v>60</v>
      </c>
      <c r="F158" s="329">
        <v>57</v>
      </c>
      <c r="G158" s="335">
        <v>5.263157894736842</v>
      </c>
      <c r="H158" s="336"/>
      <c r="I158" s="336"/>
      <c r="J158" s="335"/>
      <c r="K158" s="342"/>
      <c r="L158" s="342"/>
      <c r="M158" s="336"/>
      <c r="N158" s="336"/>
      <c r="O158" s="336"/>
      <c r="P158" s="336"/>
      <c r="Q158" s="342"/>
      <c r="R158" s="345"/>
      <c r="S158" s="345"/>
    </row>
    <row r="159" spans="1:19" ht="14.25">
      <c r="A159" s="337" t="s">
        <v>1044</v>
      </c>
      <c r="B159" s="332">
        <v>0</v>
      </c>
      <c r="C159" s="332">
        <v>69</v>
      </c>
      <c r="D159" s="333">
        <f t="shared" si="19"/>
        <v>-100</v>
      </c>
      <c r="E159" s="329"/>
      <c r="F159" s="329"/>
      <c r="G159" s="335"/>
      <c r="H159" s="336"/>
      <c r="I159" s="336"/>
      <c r="J159" s="335"/>
      <c r="K159" s="347">
        <v>69</v>
      </c>
      <c r="L159" s="341">
        <v>60</v>
      </c>
      <c r="M159" s="336"/>
      <c r="N159" s="336"/>
      <c r="O159" s="336"/>
      <c r="P159" s="336"/>
      <c r="Q159" s="342"/>
      <c r="R159" s="345"/>
      <c r="S159" s="345"/>
    </row>
    <row r="160" spans="1:19" ht="14.25">
      <c r="A160" s="337" t="s">
        <v>1045</v>
      </c>
      <c r="B160" s="332">
        <v>0</v>
      </c>
      <c r="C160" s="332">
        <v>69</v>
      </c>
      <c r="D160" s="333">
        <f t="shared" si="19"/>
        <v>-100</v>
      </c>
      <c r="E160" s="329"/>
      <c r="F160" s="329"/>
      <c r="G160" s="335"/>
      <c r="H160" s="336"/>
      <c r="I160" s="336"/>
      <c r="J160" s="335"/>
      <c r="K160" s="347">
        <v>69</v>
      </c>
      <c r="L160" s="341">
        <v>60</v>
      </c>
      <c r="M160" s="336"/>
      <c r="N160" s="336"/>
      <c r="O160" s="336"/>
      <c r="P160" s="336"/>
      <c r="Q160" s="342"/>
      <c r="R160" s="345"/>
      <c r="S160" s="345"/>
    </row>
    <row r="161" spans="1:19" ht="14.25">
      <c r="A161" s="337" t="s">
        <v>1046</v>
      </c>
      <c r="B161" s="332">
        <v>235</v>
      </c>
      <c r="C161" s="332">
        <v>128</v>
      </c>
      <c r="D161" s="333">
        <f t="shared" si="19"/>
        <v>83.59375</v>
      </c>
      <c r="E161" s="329">
        <v>4750</v>
      </c>
      <c r="F161" s="329">
        <v>3632</v>
      </c>
      <c r="G161" s="335">
        <v>30.781938325991188</v>
      </c>
      <c r="H161" s="336"/>
      <c r="I161" s="336"/>
      <c r="J161" s="335"/>
      <c r="K161" s="342"/>
      <c r="L161" s="342"/>
      <c r="M161" s="336"/>
      <c r="N161" s="336"/>
      <c r="O161" s="336"/>
      <c r="P161" s="336"/>
      <c r="Q161" s="342">
        <v>128</v>
      </c>
      <c r="R161" s="345">
        <v>145</v>
      </c>
      <c r="S161" s="333">
        <f aca="true" t="shared" si="24" ref="S161:S165">Q161/R161*100-100</f>
        <v>-11.724137931034477</v>
      </c>
    </row>
    <row r="162" spans="1:19" ht="14.25">
      <c r="A162" s="337" t="s">
        <v>1047</v>
      </c>
      <c r="B162" s="332">
        <v>0</v>
      </c>
      <c r="C162" s="332">
        <v>0</v>
      </c>
      <c r="D162" s="333"/>
      <c r="E162" s="329">
        <v>4500</v>
      </c>
      <c r="F162" s="329">
        <v>3504</v>
      </c>
      <c r="G162" s="335">
        <v>28.424657534246577</v>
      </c>
      <c r="H162" s="336"/>
      <c r="I162" s="336"/>
      <c r="J162" s="335"/>
      <c r="K162" s="342"/>
      <c r="L162" s="342"/>
      <c r="M162" s="336"/>
      <c r="N162" s="336"/>
      <c r="O162" s="336"/>
      <c r="P162" s="336"/>
      <c r="Q162" s="342"/>
      <c r="R162" s="345"/>
      <c r="S162" s="345"/>
    </row>
    <row r="163" spans="1:19" ht="14.25">
      <c r="A163" s="337" t="s">
        <v>1048</v>
      </c>
      <c r="B163" s="332">
        <v>0</v>
      </c>
      <c r="C163" s="332">
        <v>0</v>
      </c>
      <c r="D163" s="333"/>
      <c r="E163" s="329">
        <v>250</v>
      </c>
      <c r="F163" s="329">
        <v>129</v>
      </c>
      <c r="G163" s="335">
        <v>93.7984496124031</v>
      </c>
      <c r="H163" s="336"/>
      <c r="I163" s="336"/>
      <c r="J163" s="335"/>
      <c r="K163" s="342"/>
      <c r="L163" s="342"/>
      <c r="M163" s="336"/>
      <c r="N163" s="336"/>
      <c r="O163" s="336"/>
      <c r="P163" s="336"/>
      <c r="Q163" s="342"/>
      <c r="R163" s="345"/>
      <c r="S163" s="345"/>
    </row>
    <row r="164" spans="1:19" ht="14.25">
      <c r="A164" s="337" t="s">
        <v>1049</v>
      </c>
      <c r="B164" s="332">
        <v>135</v>
      </c>
      <c r="C164" s="332">
        <v>128</v>
      </c>
      <c r="D164" s="333">
        <f t="shared" si="19"/>
        <v>5.46875</v>
      </c>
      <c r="E164" s="329"/>
      <c r="F164" s="329"/>
      <c r="G164" s="335"/>
      <c r="H164" s="336"/>
      <c r="I164" s="336"/>
      <c r="J164" s="335"/>
      <c r="K164" s="342"/>
      <c r="L164" s="342"/>
      <c r="M164" s="336"/>
      <c r="N164" s="336"/>
      <c r="O164" s="336"/>
      <c r="P164" s="336"/>
      <c r="Q164" s="342">
        <v>128</v>
      </c>
      <c r="R164" s="345">
        <v>145</v>
      </c>
      <c r="S164" s="333">
        <f t="shared" si="24"/>
        <v>-11.724137931034477</v>
      </c>
    </row>
    <row r="165" spans="1:19" ht="14.25">
      <c r="A165" s="337" t="s">
        <v>1050</v>
      </c>
      <c r="B165" s="332">
        <v>279</v>
      </c>
      <c r="C165" s="332">
        <v>444</v>
      </c>
      <c r="D165" s="333">
        <f t="shared" si="19"/>
        <v>-37.16216216216216</v>
      </c>
      <c r="E165" s="329">
        <v>15</v>
      </c>
      <c r="F165" s="329">
        <v>13</v>
      </c>
      <c r="G165" s="335">
        <v>15.384615384615385</v>
      </c>
      <c r="H165" s="336">
        <v>700</v>
      </c>
      <c r="I165" s="336">
        <v>300</v>
      </c>
      <c r="J165" s="335">
        <f>H165/I165*100-100</f>
        <v>133.33333333333334</v>
      </c>
      <c r="K165" s="342"/>
      <c r="L165" s="342"/>
      <c r="M165" s="336"/>
      <c r="N165" s="336"/>
      <c r="O165" s="336"/>
      <c r="P165" s="336"/>
      <c r="Q165" s="342">
        <v>444</v>
      </c>
      <c r="R165" s="345">
        <v>33</v>
      </c>
      <c r="S165" s="333">
        <f t="shared" si="24"/>
        <v>1245.4545454545455</v>
      </c>
    </row>
    <row r="166" spans="1:19" ht="14.25">
      <c r="A166" s="337" t="s">
        <v>1051</v>
      </c>
      <c r="B166" s="332">
        <v>279</v>
      </c>
      <c r="C166" s="332">
        <v>444</v>
      </c>
      <c r="D166" s="333">
        <f t="shared" si="19"/>
        <v>-37.16216216216216</v>
      </c>
      <c r="E166" s="329"/>
      <c r="F166" s="329"/>
      <c r="G166" s="335"/>
      <c r="H166" s="336"/>
      <c r="I166" s="336"/>
      <c r="J166" s="335"/>
      <c r="K166" s="342"/>
      <c r="L166" s="342"/>
      <c r="M166" s="336"/>
      <c r="N166" s="336"/>
      <c r="O166" s="336"/>
      <c r="P166" s="336"/>
      <c r="Q166" s="342">
        <v>444</v>
      </c>
      <c r="R166" s="345"/>
      <c r="S166" s="345"/>
    </row>
    <row r="167" spans="1:19" ht="14.25">
      <c r="A167" s="337" t="s">
        <v>1052</v>
      </c>
      <c r="B167" s="332">
        <v>0</v>
      </c>
      <c r="C167" s="332">
        <v>0</v>
      </c>
      <c r="D167" s="333"/>
      <c r="E167" s="329">
        <v>15</v>
      </c>
      <c r="F167" s="329">
        <v>13</v>
      </c>
      <c r="G167" s="335">
        <v>15.384615384615385</v>
      </c>
      <c r="H167" s="336"/>
      <c r="I167" s="336"/>
      <c r="J167" s="335"/>
      <c r="K167" s="342"/>
      <c r="L167" s="342"/>
      <c r="M167" s="336"/>
      <c r="N167" s="336"/>
      <c r="O167" s="336"/>
      <c r="P167" s="336"/>
      <c r="Q167" s="342"/>
      <c r="R167" s="345"/>
      <c r="S167" s="345"/>
    </row>
    <row r="168" spans="1:19" ht="14.25">
      <c r="A168" s="337" t="s">
        <v>1053</v>
      </c>
      <c r="B168" s="332">
        <v>0</v>
      </c>
      <c r="C168" s="332">
        <v>0</v>
      </c>
      <c r="D168" s="333"/>
      <c r="E168" s="329"/>
      <c r="F168" s="329"/>
      <c r="G168" s="335"/>
      <c r="H168" s="336">
        <v>700</v>
      </c>
      <c r="I168" s="336">
        <v>300</v>
      </c>
      <c r="J168" s="335">
        <f>H168/I168*100-100</f>
        <v>133.33333333333334</v>
      </c>
      <c r="K168" s="342"/>
      <c r="L168" s="342"/>
      <c r="M168" s="336"/>
      <c r="N168" s="336"/>
      <c r="O168" s="336"/>
      <c r="P168" s="336"/>
      <c r="Q168" s="342"/>
      <c r="R168" s="345">
        <v>33</v>
      </c>
      <c r="S168" s="333">
        <f aca="true" t="shared" si="25" ref="S168:S173">Q168/R168*100-100</f>
        <v>-100</v>
      </c>
    </row>
    <row r="169" spans="1:19" ht="14.25">
      <c r="A169" s="337" t="s">
        <v>1054</v>
      </c>
      <c r="B169" s="332">
        <v>0</v>
      </c>
      <c r="C169" s="332">
        <v>0</v>
      </c>
      <c r="D169" s="333"/>
      <c r="E169" s="329">
        <v>406</v>
      </c>
      <c r="F169" s="329">
        <v>406</v>
      </c>
      <c r="G169" s="335">
        <v>0</v>
      </c>
      <c r="H169" s="336"/>
      <c r="I169" s="336"/>
      <c r="J169" s="335"/>
      <c r="K169" s="342"/>
      <c r="L169" s="342"/>
      <c r="M169" s="336"/>
      <c r="N169" s="336"/>
      <c r="O169" s="336"/>
      <c r="P169" s="336"/>
      <c r="Q169" s="342"/>
      <c r="R169" s="345"/>
      <c r="S169" s="345"/>
    </row>
    <row r="170" spans="1:19" ht="14.25">
      <c r="A170" s="337" t="s">
        <v>1055</v>
      </c>
      <c r="B170" s="332">
        <v>6400</v>
      </c>
      <c r="C170" s="332">
        <v>6029</v>
      </c>
      <c r="D170" s="333">
        <f t="shared" si="19"/>
        <v>6.15359097694477</v>
      </c>
      <c r="E170" s="329">
        <v>4500</v>
      </c>
      <c r="F170" s="329">
        <v>2764</v>
      </c>
      <c r="G170" s="335">
        <v>62.80752532561505</v>
      </c>
      <c r="H170" s="336"/>
      <c r="I170" s="336"/>
      <c r="J170" s="335"/>
      <c r="K170" s="347">
        <v>29</v>
      </c>
      <c r="L170" s="341">
        <v>25</v>
      </c>
      <c r="M170" s="336"/>
      <c r="N170" s="336"/>
      <c r="O170" s="336"/>
      <c r="P170" s="336"/>
      <c r="Q170" s="342">
        <v>6000</v>
      </c>
      <c r="R170" s="345">
        <v>5200</v>
      </c>
      <c r="S170" s="333">
        <f t="shared" si="25"/>
        <v>15.384615384615373</v>
      </c>
    </row>
    <row r="171" spans="1:19" ht="14.25">
      <c r="A171" s="337" t="s">
        <v>1056</v>
      </c>
      <c r="B171" s="332">
        <v>0</v>
      </c>
      <c r="C171" s="332">
        <v>0</v>
      </c>
      <c r="D171" s="333"/>
      <c r="E171" s="329">
        <v>1500</v>
      </c>
      <c r="F171" s="329">
        <v>264</v>
      </c>
      <c r="G171" s="335">
        <v>468.1818181818182</v>
      </c>
      <c r="H171" s="336"/>
      <c r="I171" s="336"/>
      <c r="J171" s="335"/>
      <c r="K171" s="342"/>
      <c r="L171" s="342"/>
      <c r="M171" s="336"/>
      <c r="N171" s="336"/>
      <c r="O171" s="336"/>
      <c r="P171" s="336"/>
      <c r="Q171" s="342"/>
      <c r="R171" s="345"/>
      <c r="S171" s="345"/>
    </row>
    <row r="172" spans="1:19" ht="14.25">
      <c r="A172" s="337" t="s">
        <v>1057</v>
      </c>
      <c r="B172" s="332">
        <v>6400</v>
      </c>
      <c r="C172" s="332">
        <v>6029</v>
      </c>
      <c r="D172" s="333">
        <f t="shared" si="19"/>
        <v>6.15359097694477</v>
      </c>
      <c r="E172" s="329">
        <v>3000</v>
      </c>
      <c r="F172" s="329">
        <v>2500</v>
      </c>
      <c r="G172" s="335">
        <v>20</v>
      </c>
      <c r="H172" s="336"/>
      <c r="I172" s="336"/>
      <c r="J172" s="335"/>
      <c r="K172" s="347">
        <v>29</v>
      </c>
      <c r="L172" s="341">
        <v>25</v>
      </c>
      <c r="M172" s="336"/>
      <c r="N172" s="336"/>
      <c r="O172" s="336"/>
      <c r="P172" s="336"/>
      <c r="Q172" s="342">
        <v>6000</v>
      </c>
      <c r="R172" s="345">
        <v>5200</v>
      </c>
      <c r="S172" s="333">
        <f t="shared" si="25"/>
        <v>15.384615384615373</v>
      </c>
    </row>
    <row r="173" spans="1:19" ht="14.25">
      <c r="A173" s="331" t="s">
        <v>1058</v>
      </c>
      <c r="B173" s="332">
        <v>365</v>
      </c>
      <c r="C173" s="332">
        <v>404</v>
      </c>
      <c r="D173" s="333">
        <f t="shared" si="19"/>
        <v>-9.653465346534645</v>
      </c>
      <c r="E173" s="329">
        <v>328</v>
      </c>
      <c r="F173" s="329">
        <v>301</v>
      </c>
      <c r="G173" s="335">
        <v>8.970099667774086</v>
      </c>
      <c r="H173" s="336">
        <v>1400</v>
      </c>
      <c r="I173" s="336">
        <v>700</v>
      </c>
      <c r="J173" s="335">
        <f aca="true" t="shared" si="26" ref="J173:J176">H173/I173*100-100</f>
        <v>100</v>
      </c>
      <c r="K173" s="342"/>
      <c r="L173" s="342"/>
      <c r="M173" s="336"/>
      <c r="N173" s="336"/>
      <c r="O173" s="336"/>
      <c r="P173" s="336"/>
      <c r="Q173" s="342">
        <v>404</v>
      </c>
      <c r="R173" s="345">
        <v>9</v>
      </c>
      <c r="S173" s="333">
        <f t="shared" si="25"/>
        <v>4388.888888888889</v>
      </c>
    </row>
    <row r="174" spans="1:19" ht="14.25">
      <c r="A174" s="337" t="s">
        <v>1059</v>
      </c>
      <c r="B174" s="332">
        <v>150</v>
      </c>
      <c r="C174" s="332">
        <v>150</v>
      </c>
      <c r="D174" s="333">
        <f t="shared" si="19"/>
        <v>0</v>
      </c>
      <c r="E174" s="329">
        <v>184</v>
      </c>
      <c r="F174" s="329">
        <v>168</v>
      </c>
      <c r="G174" s="335">
        <v>9.523809523809524</v>
      </c>
      <c r="H174" s="336">
        <v>1200</v>
      </c>
      <c r="I174" s="336">
        <v>600</v>
      </c>
      <c r="J174" s="335">
        <f t="shared" si="26"/>
        <v>100</v>
      </c>
      <c r="K174" s="342"/>
      <c r="L174" s="342"/>
      <c r="M174" s="336"/>
      <c r="N174" s="336"/>
      <c r="O174" s="336"/>
      <c r="P174" s="336"/>
      <c r="Q174" s="342">
        <v>150</v>
      </c>
      <c r="R174" s="345"/>
      <c r="S174" s="345"/>
    </row>
    <row r="175" spans="1:19" ht="14.25">
      <c r="A175" s="337" t="s">
        <v>929</v>
      </c>
      <c r="B175" s="332">
        <v>0</v>
      </c>
      <c r="C175" s="332">
        <v>0</v>
      </c>
      <c r="D175" s="333"/>
      <c r="E175" s="329">
        <v>34</v>
      </c>
      <c r="F175" s="329">
        <v>34</v>
      </c>
      <c r="G175" s="335">
        <v>0</v>
      </c>
      <c r="H175" s="336"/>
      <c r="I175" s="336"/>
      <c r="J175" s="335"/>
      <c r="K175" s="342"/>
      <c r="L175" s="342"/>
      <c r="M175" s="336"/>
      <c r="N175" s="336"/>
      <c r="O175" s="336"/>
      <c r="P175" s="336"/>
      <c r="Q175" s="342"/>
      <c r="R175" s="345"/>
      <c r="S175" s="345"/>
    </row>
    <row r="176" spans="1:19" ht="14.25">
      <c r="A176" s="337" t="s">
        <v>1060</v>
      </c>
      <c r="B176" s="332">
        <v>0</v>
      </c>
      <c r="C176" s="332">
        <v>0</v>
      </c>
      <c r="D176" s="333"/>
      <c r="E176" s="329">
        <v>40</v>
      </c>
      <c r="F176" s="329">
        <v>32</v>
      </c>
      <c r="G176" s="335">
        <v>25</v>
      </c>
      <c r="H176" s="336">
        <v>1200</v>
      </c>
      <c r="I176" s="336">
        <v>600</v>
      </c>
      <c r="J176" s="335">
        <f t="shared" si="26"/>
        <v>100</v>
      </c>
      <c r="K176" s="342"/>
      <c r="L176" s="342"/>
      <c r="M176" s="336"/>
      <c r="N176" s="336"/>
      <c r="O176" s="336"/>
      <c r="P176" s="336"/>
      <c r="Q176" s="342"/>
      <c r="R176" s="345"/>
      <c r="S176" s="345"/>
    </row>
    <row r="177" spans="1:19" ht="14.25">
      <c r="A177" s="337" t="s">
        <v>1061</v>
      </c>
      <c r="B177" s="332">
        <v>150</v>
      </c>
      <c r="C177" s="332">
        <v>150</v>
      </c>
      <c r="D177" s="333">
        <f t="shared" si="19"/>
        <v>0</v>
      </c>
      <c r="E177" s="329">
        <v>110</v>
      </c>
      <c r="F177" s="329">
        <v>102</v>
      </c>
      <c r="G177" s="335">
        <v>7.8431372549019605</v>
      </c>
      <c r="H177" s="336"/>
      <c r="I177" s="336"/>
      <c r="J177" s="335"/>
      <c r="K177" s="342"/>
      <c r="L177" s="342"/>
      <c r="M177" s="336"/>
      <c r="N177" s="336"/>
      <c r="O177" s="336"/>
      <c r="P177" s="336"/>
      <c r="Q177" s="342">
        <v>150</v>
      </c>
      <c r="R177" s="345"/>
      <c r="S177" s="345"/>
    </row>
    <row r="178" spans="1:19" ht="14.25">
      <c r="A178" s="337" t="s">
        <v>1062</v>
      </c>
      <c r="B178" s="332">
        <v>0</v>
      </c>
      <c r="C178" s="332">
        <v>0</v>
      </c>
      <c r="D178" s="333"/>
      <c r="E178" s="329">
        <v>5</v>
      </c>
      <c r="F178" s="329"/>
      <c r="G178" s="335"/>
      <c r="H178" s="336"/>
      <c r="I178" s="336"/>
      <c r="J178" s="335"/>
      <c r="K178" s="342"/>
      <c r="L178" s="342"/>
      <c r="M178" s="336"/>
      <c r="N178" s="336"/>
      <c r="O178" s="336"/>
      <c r="P178" s="336"/>
      <c r="Q178" s="342"/>
      <c r="R178" s="345"/>
      <c r="S178" s="345"/>
    </row>
    <row r="179" spans="1:19" ht="14.25">
      <c r="A179" s="337" t="s">
        <v>1063</v>
      </c>
      <c r="B179" s="332">
        <v>0</v>
      </c>
      <c r="C179" s="332">
        <v>0</v>
      </c>
      <c r="D179" s="333"/>
      <c r="E179" s="329">
        <v>5</v>
      </c>
      <c r="F179" s="329"/>
      <c r="G179" s="335"/>
      <c r="H179" s="336"/>
      <c r="I179" s="336"/>
      <c r="J179" s="335"/>
      <c r="K179" s="342"/>
      <c r="L179" s="342"/>
      <c r="M179" s="336"/>
      <c r="N179" s="336"/>
      <c r="O179" s="336"/>
      <c r="P179" s="336"/>
      <c r="Q179" s="342"/>
      <c r="R179" s="345"/>
      <c r="S179" s="345"/>
    </row>
    <row r="180" spans="1:19" ht="14.25">
      <c r="A180" s="337" t="s">
        <v>1064</v>
      </c>
      <c r="B180" s="332">
        <v>215</v>
      </c>
      <c r="C180" s="332">
        <v>215</v>
      </c>
      <c r="D180" s="333">
        <f t="shared" si="19"/>
        <v>0</v>
      </c>
      <c r="E180" s="329">
        <v>64</v>
      </c>
      <c r="F180" s="329">
        <v>64</v>
      </c>
      <c r="G180" s="335">
        <v>0</v>
      </c>
      <c r="H180" s="336">
        <v>200</v>
      </c>
      <c r="I180" s="336">
        <v>100</v>
      </c>
      <c r="J180" s="335">
        <f>H180/I180*100-100</f>
        <v>100</v>
      </c>
      <c r="K180" s="342"/>
      <c r="L180" s="342"/>
      <c r="M180" s="336"/>
      <c r="N180" s="336"/>
      <c r="O180" s="336"/>
      <c r="P180" s="336"/>
      <c r="Q180" s="342">
        <v>215</v>
      </c>
      <c r="R180" s="345">
        <v>9</v>
      </c>
      <c r="S180" s="333">
        <f>Q180/R180*100-100</f>
        <v>2288.888888888889</v>
      </c>
    </row>
    <row r="181" spans="1:19" ht="14.25">
      <c r="A181" s="337" t="s">
        <v>1065</v>
      </c>
      <c r="B181" s="332">
        <v>0</v>
      </c>
      <c r="C181" s="332">
        <v>0</v>
      </c>
      <c r="D181" s="333"/>
      <c r="E181" s="329">
        <v>0</v>
      </c>
      <c r="F181" s="329">
        <v>36</v>
      </c>
      <c r="G181" s="335">
        <v>-100</v>
      </c>
      <c r="H181" s="336"/>
      <c r="I181" s="336"/>
      <c r="J181" s="335"/>
      <c r="K181" s="342"/>
      <c r="L181" s="342"/>
      <c r="M181" s="336"/>
      <c r="N181" s="336"/>
      <c r="O181" s="336"/>
      <c r="P181" s="336"/>
      <c r="Q181" s="342"/>
      <c r="R181" s="345"/>
      <c r="S181" s="345"/>
    </row>
    <row r="182" spans="1:19" ht="14.25">
      <c r="A182" s="337" t="s">
        <v>1066</v>
      </c>
      <c r="B182" s="332">
        <v>0</v>
      </c>
      <c r="C182" s="332">
        <v>0</v>
      </c>
      <c r="D182" s="333"/>
      <c r="E182" s="329">
        <v>200</v>
      </c>
      <c r="F182" s="329">
        <v>28</v>
      </c>
      <c r="G182" s="335">
        <v>614.2857142857143</v>
      </c>
      <c r="H182" s="336">
        <v>200</v>
      </c>
      <c r="I182" s="336">
        <v>100</v>
      </c>
      <c r="J182" s="335">
        <f>H182/I182*100-100</f>
        <v>100</v>
      </c>
      <c r="K182" s="342"/>
      <c r="L182" s="342"/>
      <c r="M182" s="336"/>
      <c r="N182" s="336"/>
      <c r="O182" s="336"/>
      <c r="P182" s="336"/>
      <c r="Q182" s="342"/>
      <c r="R182" s="345"/>
      <c r="S182" s="345"/>
    </row>
    <row r="183" spans="1:19" ht="14.25">
      <c r="A183" s="337" t="s">
        <v>1067</v>
      </c>
      <c r="B183" s="332">
        <v>215</v>
      </c>
      <c r="C183" s="332">
        <v>215</v>
      </c>
      <c r="D183" s="333">
        <f t="shared" si="19"/>
        <v>0</v>
      </c>
      <c r="E183" s="329"/>
      <c r="F183" s="329"/>
      <c r="G183" s="335"/>
      <c r="H183" s="336"/>
      <c r="I183" s="336"/>
      <c r="J183" s="335"/>
      <c r="K183" s="342"/>
      <c r="L183" s="342"/>
      <c r="M183" s="336"/>
      <c r="N183" s="336"/>
      <c r="O183" s="336"/>
      <c r="P183" s="336"/>
      <c r="Q183" s="342">
        <v>215</v>
      </c>
      <c r="R183" s="345">
        <v>9</v>
      </c>
      <c r="S183" s="333">
        <f>Q183/R183*100-100</f>
        <v>2288.888888888889</v>
      </c>
    </row>
    <row r="184" spans="1:19" ht="14.25">
      <c r="A184" s="337" t="s">
        <v>1068</v>
      </c>
      <c r="B184" s="332">
        <v>0</v>
      </c>
      <c r="C184" s="332">
        <v>0</v>
      </c>
      <c r="D184" s="333"/>
      <c r="E184" s="329"/>
      <c r="F184" s="329"/>
      <c r="G184" s="335"/>
      <c r="H184" s="336"/>
      <c r="I184" s="336"/>
      <c r="J184" s="335"/>
      <c r="K184" s="342"/>
      <c r="L184" s="342"/>
      <c r="M184" s="336"/>
      <c r="N184" s="336"/>
      <c r="O184" s="336"/>
      <c r="P184" s="336"/>
      <c r="Q184" s="342"/>
      <c r="R184" s="345"/>
      <c r="S184" s="345"/>
    </row>
    <row r="185" spans="1:19" ht="14.25">
      <c r="A185" s="337" t="s">
        <v>1069</v>
      </c>
      <c r="B185" s="332">
        <v>0</v>
      </c>
      <c r="C185" s="332">
        <v>0</v>
      </c>
      <c r="D185" s="333"/>
      <c r="E185" s="329"/>
      <c r="F185" s="329"/>
      <c r="G185" s="335"/>
      <c r="H185" s="336"/>
      <c r="I185" s="336"/>
      <c r="J185" s="335"/>
      <c r="K185" s="342"/>
      <c r="L185" s="342"/>
      <c r="M185" s="336"/>
      <c r="N185" s="336"/>
      <c r="O185" s="336"/>
      <c r="P185" s="336"/>
      <c r="Q185" s="342"/>
      <c r="R185" s="345"/>
      <c r="S185" s="345"/>
    </row>
    <row r="186" spans="1:19" ht="14.25">
      <c r="A186" s="337" t="s">
        <v>1070</v>
      </c>
      <c r="B186" s="332">
        <v>0</v>
      </c>
      <c r="C186" s="332">
        <v>0</v>
      </c>
      <c r="D186" s="333"/>
      <c r="E186" s="329"/>
      <c r="F186" s="329"/>
      <c r="G186" s="335"/>
      <c r="H186" s="336"/>
      <c r="I186" s="336"/>
      <c r="J186" s="335"/>
      <c r="K186" s="342"/>
      <c r="L186" s="342"/>
      <c r="M186" s="336"/>
      <c r="N186" s="336"/>
      <c r="O186" s="336"/>
      <c r="P186" s="336"/>
      <c r="Q186" s="342"/>
      <c r="R186" s="345"/>
      <c r="S186" s="345"/>
    </row>
    <row r="187" spans="1:19" ht="14.25">
      <c r="A187" s="337" t="s">
        <v>1071</v>
      </c>
      <c r="B187" s="332">
        <v>0</v>
      </c>
      <c r="C187" s="332">
        <v>0</v>
      </c>
      <c r="D187" s="333"/>
      <c r="E187" s="329"/>
      <c r="F187" s="329"/>
      <c r="G187" s="335"/>
      <c r="H187" s="336"/>
      <c r="I187" s="336"/>
      <c r="J187" s="335"/>
      <c r="K187" s="342"/>
      <c r="L187" s="342"/>
      <c r="M187" s="336"/>
      <c r="N187" s="336"/>
      <c r="O187" s="336"/>
      <c r="P187" s="336"/>
      <c r="Q187" s="342"/>
      <c r="R187" s="345"/>
      <c r="S187" s="345"/>
    </row>
    <row r="188" spans="1:19" ht="14.25">
      <c r="A188" s="337" t="s">
        <v>1072</v>
      </c>
      <c r="B188" s="332">
        <v>0</v>
      </c>
      <c r="C188" s="332">
        <v>4</v>
      </c>
      <c r="D188" s="333">
        <f t="shared" si="19"/>
        <v>-100</v>
      </c>
      <c r="E188" s="329">
        <v>75</v>
      </c>
      <c r="F188" s="329">
        <v>69</v>
      </c>
      <c r="G188" s="335">
        <v>8.695652173913043</v>
      </c>
      <c r="H188" s="336"/>
      <c r="I188" s="336"/>
      <c r="J188" s="335"/>
      <c r="K188" s="342"/>
      <c r="L188" s="342"/>
      <c r="M188" s="336"/>
      <c r="N188" s="336"/>
      <c r="O188" s="336"/>
      <c r="P188" s="336"/>
      <c r="Q188" s="342">
        <v>4</v>
      </c>
      <c r="R188" s="345"/>
      <c r="S188" s="345"/>
    </row>
    <row r="189" spans="1:19" ht="14.25">
      <c r="A189" s="337" t="s">
        <v>1073</v>
      </c>
      <c r="B189" s="332">
        <v>0</v>
      </c>
      <c r="C189" s="332">
        <v>39</v>
      </c>
      <c r="D189" s="333">
        <f t="shared" si="19"/>
        <v>-100</v>
      </c>
      <c r="E189" s="329">
        <v>75</v>
      </c>
      <c r="F189" s="329">
        <v>69</v>
      </c>
      <c r="G189" s="335">
        <v>8.695652173913043</v>
      </c>
      <c r="H189" s="336"/>
      <c r="I189" s="336"/>
      <c r="J189" s="335"/>
      <c r="K189" s="342"/>
      <c r="L189" s="342"/>
      <c r="M189" s="336"/>
      <c r="N189" s="336"/>
      <c r="O189" s="336"/>
      <c r="P189" s="336"/>
      <c r="Q189" s="342">
        <v>39</v>
      </c>
      <c r="R189" s="345"/>
      <c r="S189" s="345"/>
    </row>
    <row r="190" spans="1:19" ht="14.25">
      <c r="A190" s="331" t="s">
        <v>27</v>
      </c>
      <c r="B190" s="332">
        <v>12774</v>
      </c>
      <c r="C190" s="332">
        <v>6514</v>
      </c>
      <c r="D190" s="333">
        <f t="shared" si="19"/>
        <v>96.10070617132331</v>
      </c>
      <c r="E190" s="329">
        <v>9284</v>
      </c>
      <c r="F190" s="329">
        <v>5515</v>
      </c>
      <c r="G190" s="335">
        <v>68.34088848594742</v>
      </c>
      <c r="H190" s="336">
        <f>H191+H198+H205+H220+H225+H231+H235+H241+H250+H253+H255+H257+H266</f>
        <v>11650</v>
      </c>
      <c r="I190" s="336">
        <v>5690</v>
      </c>
      <c r="J190" s="335">
        <f>H190/I190*100-100</f>
        <v>104.7451669595782</v>
      </c>
      <c r="K190" s="347">
        <v>781</v>
      </c>
      <c r="L190" s="341">
        <v>678</v>
      </c>
      <c r="M190" s="336"/>
      <c r="N190" s="336"/>
      <c r="O190" s="336"/>
      <c r="P190" s="336"/>
      <c r="Q190" s="342">
        <v>5733</v>
      </c>
      <c r="R190" s="345">
        <v>5341</v>
      </c>
      <c r="S190" s="333">
        <f aca="true" t="shared" si="27" ref="S190:S193">Q190/R190*100-100</f>
        <v>7.339449541284409</v>
      </c>
    </row>
    <row r="191" spans="1:19" ht="14.25">
      <c r="A191" s="337" t="s">
        <v>1074</v>
      </c>
      <c r="B191" s="332">
        <v>592</v>
      </c>
      <c r="C191" s="332">
        <v>496</v>
      </c>
      <c r="D191" s="333">
        <f t="shared" si="19"/>
        <v>19.354838709677423</v>
      </c>
      <c r="E191" s="329">
        <v>165</v>
      </c>
      <c r="F191" s="329">
        <v>112</v>
      </c>
      <c r="G191" s="335">
        <v>47.32142857142857</v>
      </c>
      <c r="H191" s="336"/>
      <c r="I191" s="336">
        <v>50</v>
      </c>
      <c r="J191" s="335">
        <f>H191/I191*100-100</f>
        <v>-100</v>
      </c>
      <c r="K191" s="342"/>
      <c r="L191" s="342"/>
      <c r="M191" s="336"/>
      <c r="N191" s="336"/>
      <c r="O191" s="336"/>
      <c r="P191" s="336"/>
      <c r="Q191" s="342">
        <v>496</v>
      </c>
      <c r="R191" s="345">
        <v>1009</v>
      </c>
      <c r="S191" s="333">
        <f t="shared" si="27"/>
        <v>-50.842418235877105</v>
      </c>
    </row>
    <row r="192" spans="1:19" ht="14.25">
      <c r="A192" s="337" t="s">
        <v>928</v>
      </c>
      <c r="B192" s="332">
        <v>185</v>
      </c>
      <c r="C192" s="332">
        <v>182</v>
      </c>
      <c r="D192" s="333">
        <f t="shared" si="19"/>
        <v>1.6483516483516496</v>
      </c>
      <c r="E192" s="329">
        <v>20</v>
      </c>
      <c r="F192" s="329"/>
      <c r="G192" s="335"/>
      <c r="H192" s="336"/>
      <c r="I192" s="336"/>
      <c r="J192" s="335"/>
      <c r="K192" s="342"/>
      <c r="L192" s="342"/>
      <c r="M192" s="336"/>
      <c r="N192" s="336"/>
      <c r="O192" s="336"/>
      <c r="P192" s="336"/>
      <c r="Q192" s="342">
        <v>182</v>
      </c>
      <c r="R192" s="345">
        <v>408</v>
      </c>
      <c r="S192" s="333">
        <f t="shared" si="27"/>
        <v>-55.3921568627451</v>
      </c>
    </row>
    <row r="193" spans="1:19" ht="14.25">
      <c r="A193" s="337" t="s">
        <v>1075</v>
      </c>
      <c r="B193" s="332">
        <v>74</v>
      </c>
      <c r="C193" s="332">
        <v>82</v>
      </c>
      <c r="D193" s="333">
        <f t="shared" si="19"/>
        <v>-9.756097560975604</v>
      </c>
      <c r="E193" s="329">
        <v>10</v>
      </c>
      <c r="F193" s="329"/>
      <c r="G193" s="335"/>
      <c r="H193" s="336"/>
      <c r="I193" s="336"/>
      <c r="J193" s="335"/>
      <c r="K193" s="342"/>
      <c r="L193" s="342"/>
      <c r="M193" s="336"/>
      <c r="N193" s="336"/>
      <c r="O193" s="336"/>
      <c r="P193" s="336"/>
      <c r="Q193" s="342">
        <v>82</v>
      </c>
      <c r="R193" s="345">
        <v>88</v>
      </c>
      <c r="S193" s="333">
        <f t="shared" si="27"/>
        <v>-6.818181818181827</v>
      </c>
    </row>
    <row r="194" spans="1:19" ht="14.25">
      <c r="A194" s="337" t="s">
        <v>1076</v>
      </c>
      <c r="B194" s="332">
        <v>189</v>
      </c>
      <c r="C194" s="332">
        <v>0</v>
      </c>
      <c r="D194" s="333"/>
      <c r="E194" s="329">
        <v>55</v>
      </c>
      <c r="F194" s="329">
        <v>42</v>
      </c>
      <c r="G194" s="335">
        <v>30.952380952380953</v>
      </c>
      <c r="H194" s="336"/>
      <c r="I194" s="336"/>
      <c r="J194" s="335"/>
      <c r="K194" s="342"/>
      <c r="L194" s="342"/>
      <c r="M194" s="336"/>
      <c r="N194" s="336"/>
      <c r="O194" s="336"/>
      <c r="P194" s="336"/>
      <c r="Q194" s="342"/>
      <c r="R194" s="345"/>
      <c r="S194" s="345"/>
    </row>
    <row r="195" spans="1:19" ht="14.25">
      <c r="A195" s="337" t="s">
        <v>1077</v>
      </c>
      <c r="B195" s="332">
        <v>0</v>
      </c>
      <c r="C195" s="332">
        <v>219</v>
      </c>
      <c r="D195" s="333">
        <f t="shared" si="19"/>
        <v>-100</v>
      </c>
      <c r="E195" s="329">
        <v>80</v>
      </c>
      <c r="F195" s="329">
        <v>70</v>
      </c>
      <c r="G195" s="335">
        <v>14.285714285714285</v>
      </c>
      <c r="H195" s="336"/>
      <c r="I195" s="336"/>
      <c r="J195" s="335"/>
      <c r="K195" s="342"/>
      <c r="L195" s="342"/>
      <c r="M195" s="336"/>
      <c r="N195" s="336"/>
      <c r="O195" s="336"/>
      <c r="P195" s="336"/>
      <c r="Q195" s="342">
        <v>219</v>
      </c>
      <c r="R195" s="345">
        <v>198</v>
      </c>
      <c r="S195" s="333">
        <f aca="true" t="shared" si="28" ref="S195:S205">Q195/R195*100-100</f>
        <v>10.606060606060595</v>
      </c>
    </row>
    <row r="196" spans="1:19" ht="14.25">
      <c r="A196" s="337" t="s">
        <v>943</v>
      </c>
      <c r="B196" s="332">
        <v>2</v>
      </c>
      <c r="C196" s="332">
        <v>0</v>
      </c>
      <c r="D196" s="333"/>
      <c r="E196" s="329"/>
      <c r="F196" s="329"/>
      <c r="G196" s="335"/>
      <c r="H196" s="336"/>
      <c r="I196" s="336"/>
      <c r="J196" s="335"/>
      <c r="K196" s="342"/>
      <c r="L196" s="342"/>
      <c r="M196" s="336"/>
      <c r="N196" s="336"/>
      <c r="O196" s="336"/>
      <c r="P196" s="336"/>
      <c r="Q196" s="342"/>
      <c r="R196" s="345">
        <v>2</v>
      </c>
      <c r="S196" s="333">
        <f t="shared" si="28"/>
        <v>-100</v>
      </c>
    </row>
    <row r="197" spans="1:19" ht="14.25">
      <c r="A197" s="337" t="s">
        <v>1078</v>
      </c>
      <c r="B197" s="332">
        <v>142</v>
      </c>
      <c r="C197" s="332">
        <v>13</v>
      </c>
      <c r="D197" s="333">
        <f t="shared" si="19"/>
        <v>992.3076923076924</v>
      </c>
      <c r="E197" s="329"/>
      <c r="F197" s="329"/>
      <c r="G197" s="335"/>
      <c r="H197" s="336"/>
      <c r="I197" s="336">
        <v>50</v>
      </c>
      <c r="J197" s="335">
        <f aca="true" t="shared" si="29" ref="J197:J201">H197/I197*100-100</f>
        <v>-100</v>
      </c>
      <c r="K197" s="342"/>
      <c r="L197" s="342"/>
      <c r="M197" s="336"/>
      <c r="N197" s="336"/>
      <c r="O197" s="336"/>
      <c r="P197" s="336"/>
      <c r="Q197" s="342">
        <v>13</v>
      </c>
      <c r="R197" s="345">
        <v>313</v>
      </c>
      <c r="S197" s="333">
        <f t="shared" si="28"/>
        <v>-95.84664536741214</v>
      </c>
    </row>
    <row r="198" spans="1:19" ht="14.25">
      <c r="A198" s="337" t="s">
        <v>1079</v>
      </c>
      <c r="B198" s="332">
        <v>3626</v>
      </c>
      <c r="C198" s="332">
        <v>694</v>
      </c>
      <c r="D198" s="333">
        <f t="shared" si="19"/>
        <v>422.47838616714694</v>
      </c>
      <c r="E198" s="329">
        <v>808</v>
      </c>
      <c r="F198" s="329">
        <v>340</v>
      </c>
      <c r="G198" s="335">
        <v>137.64705882352942</v>
      </c>
      <c r="H198" s="336">
        <v>1100</v>
      </c>
      <c r="I198" s="336">
        <v>600</v>
      </c>
      <c r="J198" s="335">
        <f t="shared" si="29"/>
        <v>83.33333333333331</v>
      </c>
      <c r="K198" s="347">
        <v>108</v>
      </c>
      <c r="L198" s="341">
        <v>94</v>
      </c>
      <c r="M198" s="336"/>
      <c r="N198" s="336"/>
      <c r="O198" s="336"/>
      <c r="P198" s="336"/>
      <c r="Q198" s="342">
        <v>586</v>
      </c>
      <c r="R198" s="345">
        <v>511</v>
      </c>
      <c r="S198" s="333">
        <f t="shared" si="28"/>
        <v>14.677103718199618</v>
      </c>
    </row>
    <row r="199" spans="1:19" s="314" customFormat="1" ht="14.25">
      <c r="A199" s="348" t="s">
        <v>924</v>
      </c>
      <c r="B199" s="349">
        <v>19</v>
      </c>
      <c r="C199" s="349"/>
      <c r="D199" s="333"/>
      <c r="E199" s="350"/>
      <c r="F199" s="350"/>
      <c r="G199" s="351"/>
      <c r="H199" s="352"/>
      <c r="I199" s="352"/>
      <c r="J199" s="335"/>
      <c r="K199" s="353"/>
      <c r="L199" s="354"/>
      <c r="M199" s="352"/>
      <c r="N199" s="352"/>
      <c r="O199" s="352"/>
      <c r="P199" s="352"/>
      <c r="Q199" s="355"/>
      <c r="R199" s="356"/>
      <c r="S199" s="357"/>
    </row>
    <row r="200" spans="1:19" ht="14.25">
      <c r="A200" s="337" t="s">
        <v>1080</v>
      </c>
      <c r="B200" s="332">
        <v>41</v>
      </c>
      <c r="C200" s="332">
        <v>84</v>
      </c>
      <c r="D200" s="333">
        <f aca="true" t="shared" si="30" ref="D200:D259">B200/C200*100-100</f>
        <v>-51.19047619047619</v>
      </c>
      <c r="E200" s="329"/>
      <c r="F200" s="329"/>
      <c r="G200" s="335"/>
      <c r="H200" s="336"/>
      <c r="I200" s="336"/>
      <c r="J200" s="335"/>
      <c r="K200" s="342"/>
      <c r="L200" s="342"/>
      <c r="M200" s="336"/>
      <c r="N200" s="336"/>
      <c r="O200" s="336"/>
      <c r="P200" s="336"/>
      <c r="Q200" s="342">
        <v>84</v>
      </c>
      <c r="R200" s="345">
        <v>81</v>
      </c>
      <c r="S200" s="333">
        <f t="shared" si="28"/>
        <v>3.7037037037036953</v>
      </c>
    </row>
    <row r="201" spans="1:19" ht="14.25">
      <c r="A201" s="337" t="s">
        <v>1081</v>
      </c>
      <c r="B201" s="332">
        <v>180</v>
      </c>
      <c r="C201" s="332">
        <v>108</v>
      </c>
      <c r="D201" s="333">
        <f t="shared" si="30"/>
        <v>66.66666666666669</v>
      </c>
      <c r="E201" s="329">
        <v>279</v>
      </c>
      <c r="F201" s="329">
        <v>88</v>
      </c>
      <c r="G201" s="335">
        <v>217.04545454545453</v>
      </c>
      <c r="H201" s="336">
        <v>800</v>
      </c>
      <c r="I201" s="336">
        <v>600</v>
      </c>
      <c r="J201" s="335">
        <f t="shared" si="29"/>
        <v>33.333333333333314</v>
      </c>
      <c r="K201" s="342"/>
      <c r="L201" s="342"/>
      <c r="M201" s="336"/>
      <c r="N201" s="336"/>
      <c r="O201" s="336"/>
      <c r="P201" s="336"/>
      <c r="Q201" s="342">
        <v>108</v>
      </c>
      <c r="R201" s="345">
        <v>120</v>
      </c>
      <c r="S201" s="333">
        <f t="shared" si="28"/>
        <v>-10</v>
      </c>
    </row>
    <row r="202" spans="1:19" ht="14.25">
      <c r="A202" s="337" t="s">
        <v>1082</v>
      </c>
      <c r="B202" s="332">
        <v>31</v>
      </c>
      <c r="C202" s="332">
        <v>250</v>
      </c>
      <c r="D202" s="333">
        <f t="shared" si="30"/>
        <v>-87.6</v>
      </c>
      <c r="E202" s="329"/>
      <c r="F202" s="329"/>
      <c r="G202" s="335"/>
      <c r="H202" s="336"/>
      <c r="I202" s="336"/>
      <c r="J202" s="335"/>
      <c r="K202" s="342"/>
      <c r="L202" s="342"/>
      <c r="M202" s="336"/>
      <c r="N202" s="336"/>
      <c r="O202" s="336"/>
      <c r="P202" s="336"/>
      <c r="Q202" s="342">
        <v>250</v>
      </c>
      <c r="R202" s="345">
        <v>8</v>
      </c>
      <c r="S202" s="333">
        <f t="shared" si="28"/>
        <v>3025</v>
      </c>
    </row>
    <row r="203" spans="1:19" ht="14.25">
      <c r="A203" s="337" t="s">
        <v>1083</v>
      </c>
      <c r="B203" s="332">
        <v>0</v>
      </c>
      <c r="C203" s="332">
        <v>7</v>
      </c>
      <c r="D203" s="333">
        <f t="shared" si="30"/>
        <v>-100</v>
      </c>
      <c r="E203" s="329">
        <v>430</v>
      </c>
      <c r="F203" s="329">
        <v>153</v>
      </c>
      <c r="G203" s="335">
        <v>181.04575163398692</v>
      </c>
      <c r="H203" s="336"/>
      <c r="I203" s="336"/>
      <c r="J203" s="335"/>
      <c r="K203" s="342"/>
      <c r="L203" s="342"/>
      <c r="M203" s="336"/>
      <c r="N203" s="336"/>
      <c r="O203" s="336"/>
      <c r="P203" s="336"/>
      <c r="Q203" s="342">
        <v>7</v>
      </c>
      <c r="R203" s="345">
        <v>7</v>
      </c>
      <c r="S203" s="333">
        <f t="shared" si="28"/>
        <v>0</v>
      </c>
    </row>
    <row r="204" spans="1:19" ht="14.25">
      <c r="A204" s="337" t="s">
        <v>1084</v>
      </c>
      <c r="B204" s="332">
        <v>3354</v>
      </c>
      <c r="C204" s="332">
        <v>245</v>
      </c>
      <c r="D204" s="333">
        <f t="shared" si="30"/>
        <v>1268.9795918367347</v>
      </c>
      <c r="E204" s="329">
        <v>99</v>
      </c>
      <c r="F204" s="329">
        <v>99</v>
      </c>
      <c r="G204" s="335">
        <v>0</v>
      </c>
      <c r="H204" s="336">
        <v>300</v>
      </c>
      <c r="I204" s="336"/>
      <c r="J204" s="335"/>
      <c r="K204" s="347">
        <v>108</v>
      </c>
      <c r="L204" s="341">
        <v>94</v>
      </c>
      <c r="M204" s="336"/>
      <c r="N204" s="336"/>
      <c r="O204" s="336"/>
      <c r="P204" s="336"/>
      <c r="Q204" s="342">
        <v>137</v>
      </c>
      <c r="R204" s="345">
        <v>295</v>
      </c>
      <c r="S204" s="333">
        <f t="shared" si="28"/>
        <v>-53.559322033898304</v>
      </c>
    </row>
    <row r="205" spans="1:19" ht="14.25">
      <c r="A205" s="337" t="s">
        <v>1085</v>
      </c>
      <c r="B205" s="332">
        <v>870</v>
      </c>
      <c r="C205" s="332">
        <v>657</v>
      </c>
      <c r="D205" s="333">
        <f t="shared" si="30"/>
        <v>32.42009132420091</v>
      </c>
      <c r="E205" s="329">
        <v>2345</v>
      </c>
      <c r="F205" s="329">
        <v>1324</v>
      </c>
      <c r="G205" s="335">
        <v>77.11480362537765</v>
      </c>
      <c r="H205" s="336">
        <v>6000</v>
      </c>
      <c r="I205" s="336">
        <v>1000</v>
      </c>
      <c r="J205" s="335">
        <f>H205/I205*100-100</f>
        <v>500</v>
      </c>
      <c r="K205" s="342"/>
      <c r="L205" s="342"/>
      <c r="M205" s="336"/>
      <c r="N205" s="336"/>
      <c r="O205" s="336"/>
      <c r="P205" s="336"/>
      <c r="Q205" s="342">
        <v>657</v>
      </c>
      <c r="R205" s="345">
        <v>597</v>
      </c>
      <c r="S205" s="333">
        <f t="shared" si="28"/>
        <v>10.050251256281399</v>
      </c>
    </row>
    <row r="206" spans="1:19" ht="14.25">
      <c r="A206" s="337" t="s">
        <v>1086</v>
      </c>
      <c r="B206" s="332">
        <v>0</v>
      </c>
      <c r="C206" s="332">
        <v>0</v>
      </c>
      <c r="D206" s="333"/>
      <c r="E206" s="329">
        <v>278</v>
      </c>
      <c r="F206" s="329">
        <v>278</v>
      </c>
      <c r="G206" s="335">
        <v>0</v>
      </c>
      <c r="H206" s="336">
        <v>5000</v>
      </c>
      <c r="I206" s="336"/>
      <c r="J206" s="335"/>
      <c r="K206" s="342"/>
      <c r="L206" s="342"/>
      <c r="M206" s="336"/>
      <c r="N206" s="336"/>
      <c r="O206" s="336"/>
      <c r="P206" s="336"/>
      <c r="Q206" s="342"/>
      <c r="R206" s="345"/>
      <c r="S206" s="345"/>
    </row>
    <row r="207" spans="1:19" ht="14.25">
      <c r="A207" s="337" t="s">
        <v>1087</v>
      </c>
      <c r="B207" s="332">
        <v>0</v>
      </c>
      <c r="C207" s="332">
        <v>0</v>
      </c>
      <c r="D207" s="333"/>
      <c r="E207" s="329">
        <v>600</v>
      </c>
      <c r="F207" s="329">
        <v>596</v>
      </c>
      <c r="G207" s="335">
        <v>0.6711409395973155</v>
      </c>
      <c r="H207" s="336"/>
      <c r="I207" s="336"/>
      <c r="J207" s="335"/>
      <c r="K207" s="342"/>
      <c r="L207" s="342"/>
      <c r="M207" s="336"/>
      <c r="N207" s="336"/>
      <c r="O207" s="336"/>
      <c r="P207" s="336"/>
      <c r="Q207" s="342"/>
      <c r="R207" s="345"/>
      <c r="S207" s="345"/>
    </row>
    <row r="208" spans="1:19" ht="14.25">
      <c r="A208" s="337" t="s">
        <v>1088</v>
      </c>
      <c r="B208" s="332">
        <v>2</v>
      </c>
      <c r="C208" s="332">
        <v>3</v>
      </c>
      <c r="D208" s="333">
        <f t="shared" si="30"/>
        <v>-33.33333333333334</v>
      </c>
      <c r="E208" s="329">
        <v>2</v>
      </c>
      <c r="F208" s="329">
        <v>2</v>
      </c>
      <c r="G208" s="335">
        <v>0</v>
      </c>
      <c r="H208" s="336"/>
      <c r="I208" s="336"/>
      <c r="J208" s="335"/>
      <c r="K208" s="342"/>
      <c r="L208" s="342"/>
      <c r="M208" s="336"/>
      <c r="N208" s="336"/>
      <c r="O208" s="336"/>
      <c r="P208" s="336"/>
      <c r="Q208" s="342">
        <v>3</v>
      </c>
      <c r="R208" s="345">
        <v>2</v>
      </c>
      <c r="S208" s="333">
        <f aca="true" t="shared" si="31" ref="S208:S211">Q208/R208*100-100</f>
        <v>50</v>
      </c>
    </row>
    <row r="209" spans="1:19" ht="14.25">
      <c r="A209" s="337" t="s">
        <v>1089</v>
      </c>
      <c r="B209" s="332">
        <v>12</v>
      </c>
      <c r="C209" s="332">
        <v>0</v>
      </c>
      <c r="D209" s="333"/>
      <c r="E209" s="329">
        <v>265</v>
      </c>
      <c r="F209" s="329">
        <v>238</v>
      </c>
      <c r="G209" s="335">
        <v>11.344537815126051</v>
      </c>
      <c r="H209" s="336"/>
      <c r="I209" s="336"/>
      <c r="J209" s="335"/>
      <c r="K209" s="342"/>
      <c r="L209" s="342"/>
      <c r="M209" s="336"/>
      <c r="N209" s="336"/>
      <c r="O209" s="336"/>
      <c r="P209" s="336"/>
      <c r="Q209" s="342"/>
      <c r="R209" s="345"/>
      <c r="S209" s="345"/>
    </row>
    <row r="210" spans="1:19" ht="14.25">
      <c r="A210" s="337" t="s">
        <v>1090</v>
      </c>
      <c r="B210" s="332">
        <v>914</v>
      </c>
      <c r="C210" s="332">
        <v>654</v>
      </c>
      <c r="D210" s="333">
        <f t="shared" si="30"/>
        <v>39.755351681957194</v>
      </c>
      <c r="E210" s="329">
        <v>1200</v>
      </c>
      <c r="F210" s="329">
        <v>210</v>
      </c>
      <c r="G210" s="335">
        <v>471.42857142857144</v>
      </c>
      <c r="H210" s="336">
        <v>1000</v>
      </c>
      <c r="I210" s="336">
        <v>1000</v>
      </c>
      <c r="J210" s="335">
        <f>H210/I210*100-100</f>
        <v>0</v>
      </c>
      <c r="K210" s="342"/>
      <c r="L210" s="342"/>
      <c r="M210" s="336"/>
      <c r="N210" s="336"/>
      <c r="O210" s="336"/>
      <c r="P210" s="336"/>
      <c r="Q210" s="342">
        <v>654</v>
      </c>
      <c r="R210" s="345">
        <v>595</v>
      </c>
      <c r="S210" s="333">
        <f t="shared" si="31"/>
        <v>9.91596638655463</v>
      </c>
    </row>
    <row r="211" spans="1:19" ht="14.25">
      <c r="A211" s="337" t="s">
        <v>1091</v>
      </c>
      <c r="B211" s="332">
        <v>100</v>
      </c>
      <c r="C211" s="332">
        <v>100</v>
      </c>
      <c r="D211" s="333">
        <f t="shared" si="30"/>
        <v>0</v>
      </c>
      <c r="E211" s="329">
        <v>141</v>
      </c>
      <c r="F211" s="329">
        <v>277</v>
      </c>
      <c r="G211" s="335">
        <v>-49.09747292418773</v>
      </c>
      <c r="H211" s="336"/>
      <c r="I211" s="336"/>
      <c r="J211" s="335"/>
      <c r="K211" s="342"/>
      <c r="L211" s="342"/>
      <c r="M211" s="336"/>
      <c r="N211" s="336"/>
      <c r="O211" s="336"/>
      <c r="P211" s="336"/>
      <c r="Q211" s="342">
        <v>100</v>
      </c>
      <c r="R211" s="345">
        <v>346</v>
      </c>
      <c r="S211" s="333">
        <f t="shared" si="31"/>
        <v>-71.09826589595376</v>
      </c>
    </row>
    <row r="212" spans="1:19" ht="14.25">
      <c r="A212" s="337" t="s">
        <v>1092</v>
      </c>
      <c r="B212" s="332">
        <v>0</v>
      </c>
      <c r="C212" s="332">
        <v>0</v>
      </c>
      <c r="D212" s="333"/>
      <c r="E212" s="329">
        <v>141</v>
      </c>
      <c r="F212" s="329">
        <v>141</v>
      </c>
      <c r="G212" s="335">
        <v>0</v>
      </c>
      <c r="H212" s="336"/>
      <c r="I212" s="336"/>
      <c r="J212" s="335"/>
      <c r="K212" s="342"/>
      <c r="L212" s="342"/>
      <c r="M212" s="336"/>
      <c r="N212" s="336"/>
      <c r="O212" s="336"/>
      <c r="P212" s="336"/>
      <c r="Q212" s="342"/>
      <c r="R212" s="345"/>
      <c r="S212" s="345"/>
    </row>
    <row r="213" spans="1:19" ht="14.25">
      <c r="A213" s="337" t="s">
        <v>1093</v>
      </c>
      <c r="B213" s="332">
        <v>100</v>
      </c>
      <c r="C213" s="332">
        <v>100</v>
      </c>
      <c r="D213" s="333">
        <f t="shared" si="30"/>
        <v>0</v>
      </c>
      <c r="E213" s="329">
        <v>0</v>
      </c>
      <c r="F213" s="329">
        <v>118</v>
      </c>
      <c r="G213" s="335">
        <v>-100</v>
      </c>
      <c r="H213" s="336"/>
      <c r="I213" s="336"/>
      <c r="J213" s="335"/>
      <c r="K213" s="342"/>
      <c r="L213" s="342"/>
      <c r="M213" s="336"/>
      <c r="N213" s="336"/>
      <c r="O213" s="336"/>
      <c r="P213" s="336"/>
      <c r="Q213" s="342">
        <v>100</v>
      </c>
      <c r="R213" s="345">
        <v>346</v>
      </c>
      <c r="S213" s="333">
        <f aca="true" t="shared" si="32" ref="S213:S220">Q213/R213*100-100</f>
        <v>-71.09826589595376</v>
      </c>
    </row>
    <row r="214" spans="1:19" ht="14.25">
      <c r="A214" s="337" t="s">
        <v>1094</v>
      </c>
      <c r="B214" s="332">
        <v>41</v>
      </c>
      <c r="C214" s="332"/>
      <c r="D214" s="333"/>
      <c r="E214" s="329"/>
      <c r="F214" s="329"/>
      <c r="G214" s="335"/>
      <c r="H214" s="336"/>
      <c r="I214" s="336"/>
      <c r="J214" s="335"/>
      <c r="K214" s="342"/>
      <c r="L214" s="342"/>
      <c r="M214" s="336"/>
      <c r="N214" s="336"/>
      <c r="O214" s="336"/>
      <c r="P214" s="336"/>
      <c r="Q214" s="342"/>
      <c r="R214" s="345"/>
      <c r="S214" s="333"/>
    </row>
    <row r="215" spans="1:19" ht="14.25">
      <c r="A215" s="337" t="s">
        <v>1095</v>
      </c>
      <c r="B215" s="332">
        <v>17</v>
      </c>
      <c r="C215" s="332"/>
      <c r="D215" s="333"/>
      <c r="E215" s="329"/>
      <c r="F215" s="329"/>
      <c r="G215" s="335"/>
      <c r="H215" s="336"/>
      <c r="I215" s="336"/>
      <c r="J215" s="335"/>
      <c r="K215" s="342"/>
      <c r="L215" s="342"/>
      <c r="M215" s="336"/>
      <c r="N215" s="336"/>
      <c r="O215" s="336"/>
      <c r="P215" s="336"/>
      <c r="Q215" s="342"/>
      <c r="R215" s="345"/>
      <c r="S215" s="333"/>
    </row>
    <row r="216" spans="1:19" ht="14.25">
      <c r="A216" s="337" t="s">
        <v>1096</v>
      </c>
      <c r="B216" s="332">
        <v>0</v>
      </c>
      <c r="C216" s="332">
        <v>0</v>
      </c>
      <c r="D216" s="333"/>
      <c r="E216" s="329">
        <v>0</v>
      </c>
      <c r="F216" s="329">
        <v>19</v>
      </c>
      <c r="G216" s="335">
        <v>-100</v>
      </c>
      <c r="H216" s="336"/>
      <c r="I216" s="336"/>
      <c r="J216" s="335"/>
      <c r="K216" s="342"/>
      <c r="L216" s="342"/>
      <c r="M216" s="336"/>
      <c r="N216" s="336"/>
      <c r="O216" s="336"/>
      <c r="P216" s="336"/>
      <c r="Q216" s="342"/>
      <c r="R216" s="345"/>
      <c r="S216" s="345"/>
    </row>
    <row r="217" spans="1:19" ht="14.25">
      <c r="A217" s="337" t="s">
        <v>1097</v>
      </c>
      <c r="B217" s="332">
        <v>1193</v>
      </c>
      <c r="C217" s="332">
        <v>0</v>
      </c>
      <c r="D217" s="333"/>
      <c r="E217" s="329"/>
      <c r="F217" s="329"/>
      <c r="G217" s="335"/>
      <c r="H217" s="336"/>
      <c r="I217" s="336"/>
      <c r="J217" s="335"/>
      <c r="K217" s="342"/>
      <c r="L217" s="342"/>
      <c r="M217" s="336"/>
      <c r="N217" s="336"/>
      <c r="O217" s="336"/>
      <c r="P217" s="336"/>
      <c r="Q217" s="342"/>
      <c r="R217" s="345">
        <v>1155</v>
      </c>
      <c r="S217" s="333">
        <f t="shared" si="32"/>
        <v>-100</v>
      </c>
    </row>
    <row r="218" spans="1:19" ht="14.25">
      <c r="A218" s="337" t="s">
        <v>1098</v>
      </c>
      <c r="B218" s="332">
        <v>1193</v>
      </c>
      <c r="C218" s="332">
        <v>0</v>
      </c>
      <c r="D218" s="333"/>
      <c r="E218" s="329"/>
      <c r="F218" s="329"/>
      <c r="G218" s="335"/>
      <c r="H218" s="336"/>
      <c r="I218" s="336"/>
      <c r="J218" s="335"/>
      <c r="K218" s="342"/>
      <c r="L218" s="342"/>
      <c r="M218" s="336"/>
      <c r="N218" s="336"/>
      <c r="O218" s="336"/>
      <c r="P218" s="336"/>
      <c r="Q218" s="342"/>
      <c r="R218" s="345">
        <v>266</v>
      </c>
      <c r="S218" s="333">
        <f t="shared" si="32"/>
        <v>-100</v>
      </c>
    </row>
    <row r="219" spans="1:19" ht="14.25">
      <c r="A219" s="337" t="s">
        <v>1099</v>
      </c>
      <c r="B219" s="332">
        <v>0</v>
      </c>
      <c r="C219" s="332">
        <v>0</v>
      </c>
      <c r="D219" s="333"/>
      <c r="E219" s="329"/>
      <c r="F219" s="329"/>
      <c r="G219" s="335"/>
      <c r="H219" s="336"/>
      <c r="I219" s="336"/>
      <c r="J219" s="335"/>
      <c r="K219" s="342"/>
      <c r="L219" s="342"/>
      <c r="M219" s="336"/>
      <c r="N219" s="336"/>
      <c r="O219" s="336"/>
      <c r="P219" s="336"/>
      <c r="Q219" s="342"/>
      <c r="R219" s="345">
        <v>889</v>
      </c>
      <c r="S219" s="333">
        <f t="shared" si="32"/>
        <v>-100</v>
      </c>
    </row>
    <row r="220" spans="1:19" ht="14.25">
      <c r="A220" s="337" t="s">
        <v>1100</v>
      </c>
      <c r="B220" s="332">
        <v>2982</v>
      </c>
      <c r="C220" s="332">
        <v>1098</v>
      </c>
      <c r="D220" s="333">
        <f t="shared" si="30"/>
        <v>171.58469945355193</v>
      </c>
      <c r="E220" s="329">
        <v>388</v>
      </c>
      <c r="F220" s="329">
        <v>281</v>
      </c>
      <c r="G220" s="335">
        <v>38.07829181494662</v>
      </c>
      <c r="H220" s="336">
        <v>800</v>
      </c>
      <c r="I220" s="336">
        <v>500</v>
      </c>
      <c r="J220" s="335">
        <f aca="true" t="shared" si="33" ref="J220:J225">H220/I220*100-100</f>
        <v>60</v>
      </c>
      <c r="K220" s="347">
        <v>304</v>
      </c>
      <c r="L220" s="341">
        <v>264</v>
      </c>
      <c r="M220" s="336"/>
      <c r="N220" s="336"/>
      <c r="O220" s="336"/>
      <c r="P220" s="336"/>
      <c r="Q220" s="342">
        <v>794</v>
      </c>
      <c r="R220" s="345">
        <v>106</v>
      </c>
      <c r="S220" s="333">
        <f t="shared" si="32"/>
        <v>649.0566037735849</v>
      </c>
    </row>
    <row r="221" spans="1:19" ht="14.25">
      <c r="A221" s="337" t="s">
        <v>1101</v>
      </c>
      <c r="B221" s="332">
        <v>2900</v>
      </c>
      <c r="C221" s="332"/>
      <c r="D221" s="333"/>
      <c r="E221" s="329"/>
      <c r="F221" s="329"/>
      <c r="G221" s="335"/>
      <c r="H221" s="336"/>
      <c r="I221" s="336"/>
      <c r="J221" s="335"/>
      <c r="K221" s="347"/>
      <c r="L221" s="341"/>
      <c r="M221" s="336"/>
      <c r="N221" s="336"/>
      <c r="O221" s="336"/>
      <c r="P221" s="336"/>
      <c r="Q221" s="342"/>
      <c r="R221" s="345"/>
      <c r="S221" s="333"/>
    </row>
    <row r="222" spans="1:19" ht="14.25">
      <c r="A222" s="337" t="s">
        <v>1102</v>
      </c>
      <c r="B222" s="332">
        <v>0</v>
      </c>
      <c r="C222" s="332">
        <v>20</v>
      </c>
      <c r="D222" s="333">
        <f t="shared" si="30"/>
        <v>-100</v>
      </c>
      <c r="E222" s="329"/>
      <c r="F222" s="329"/>
      <c r="G222" s="335"/>
      <c r="H222" s="336"/>
      <c r="I222" s="336"/>
      <c r="J222" s="335"/>
      <c r="K222" s="342"/>
      <c r="L222" s="342"/>
      <c r="M222" s="336"/>
      <c r="N222" s="336"/>
      <c r="O222" s="336"/>
      <c r="P222" s="336"/>
      <c r="Q222" s="342">
        <v>20</v>
      </c>
      <c r="R222" s="345">
        <v>20</v>
      </c>
      <c r="S222" s="333">
        <f aca="true" t="shared" si="34" ref="S222:S225">Q222/R222*100-100</f>
        <v>0</v>
      </c>
    </row>
    <row r="223" spans="1:19" ht="14.25">
      <c r="A223" s="337" t="s">
        <v>1103</v>
      </c>
      <c r="B223" s="332">
        <v>0</v>
      </c>
      <c r="C223" s="332">
        <v>0</v>
      </c>
      <c r="D223" s="333"/>
      <c r="E223" s="329">
        <v>10</v>
      </c>
      <c r="F223" s="329">
        <v>10</v>
      </c>
      <c r="G223" s="335">
        <v>0</v>
      </c>
      <c r="H223" s="336"/>
      <c r="I223" s="336"/>
      <c r="J223" s="335"/>
      <c r="K223" s="342"/>
      <c r="L223" s="342"/>
      <c r="M223" s="336"/>
      <c r="N223" s="336"/>
      <c r="O223" s="336"/>
      <c r="P223" s="336"/>
      <c r="Q223" s="342"/>
      <c r="R223" s="345"/>
      <c r="S223" s="345"/>
    </row>
    <row r="224" spans="1:19" ht="14.25">
      <c r="A224" s="337" t="s">
        <v>1104</v>
      </c>
      <c r="B224" s="332">
        <v>82</v>
      </c>
      <c r="C224" s="332">
        <v>1078</v>
      </c>
      <c r="D224" s="333">
        <f t="shared" si="30"/>
        <v>-92.39332096474953</v>
      </c>
      <c r="E224" s="329">
        <v>378</v>
      </c>
      <c r="F224" s="329">
        <v>271</v>
      </c>
      <c r="G224" s="335">
        <v>39.48339483394834</v>
      </c>
      <c r="H224" s="336">
        <v>800</v>
      </c>
      <c r="I224" s="336">
        <v>500</v>
      </c>
      <c r="J224" s="335">
        <f t="shared" si="33"/>
        <v>60</v>
      </c>
      <c r="K224" s="347">
        <v>304</v>
      </c>
      <c r="L224" s="341">
        <v>264</v>
      </c>
      <c r="M224" s="336"/>
      <c r="N224" s="336"/>
      <c r="O224" s="336"/>
      <c r="P224" s="336"/>
      <c r="Q224" s="342">
        <v>774</v>
      </c>
      <c r="R224" s="345">
        <v>86</v>
      </c>
      <c r="S224" s="333">
        <f t="shared" si="34"/>
        <v>800</v>
      </c>
    </row>
    <row r="225" spans="1:19" ht="14.25">
      <c r="A225" s="337" t="s">
        <v>1105</v>
      </c>
      <c r="B225" s="332">
        <v>298</v>
      </c>
      <c r="C225" s="332">
        <v>560</v>
      </c>
      <c r="D225" s="333">
        <f t="shared" si="30"/>
        <v>-46.785714285714285</v>
      </c>
      <c r="E225" s="329">
        <v>705</v>
      </c>
      <c r="F225" s="329">
        <v>587</v>
      </c>
      <c r="G225" s="335">
        <v>20.10221465076661</v>
      </c>
      <c r="H225" s="336">
        <v>900</v>
      </c>
      <c r="I225" s="336">
        <v>600</v>
      </c>
      <c r="J225" s="335">
        <f t="shared" si="33"/>
        <v>50</v>
      </c>
      <c r="K225" s="347">
        <v>106</v>
      </c>
      <c r="L225" s="341">
        <v>92</v>
      </c>
      <c r="M225" s="336"/>
      <c r="N225" s="336"/>
      <c r="O225" s="336"/>
      <c r="P225" s="336"/>
      <c r="Q225" s="342">
        <v>454</v>
      </c>
      <c r="R225" s="345">
        <v>181</v>
      </c>
      <c r="S225" s="333">
        <f t="shared" si="34"/>
        <v>150.82872928176795</v>
      </c>
    </row>
    <row r="226" spans="1:19" ht="14.25">
      <c r="A226" s="337" t="s">
        <v>1106</v>
      </c>
      <c r="B226" s="332">
        <v>1</v>
      </c>
      <c r="C226" s="332">
        <v>1</v>
      </c>
      <c r="D226" s="333">
        <f t="shared" si="30"/>
        <v>0</v>
      </c>
      <c r="E226" s="329">
        <v>60</v>
      </c>
      <c r="F226" s="329">
        <v>36</v>
      </c>
      <c r="G226" s="335">
        <v>66.66666666666666</v>
      </c>
      <c r="H226" s="336"/>
      <c r="I226" s="336"/>
      <c r="J226" s="335"/>
      <c r="K226" s="342"/>
      <c r="L226" s="342"/>
      <c r="M226" s="336"/>
      <c r="N226" s="336"/>
      <c r="O226" s="336"/>
      <c r="P226" s="336"/>
      <c r="Q226" s="342">
        <v>1</v>
      </c>
      <c r="R226" s="345"/>
      <c r="S226" s="345"/>
    </row>
    <row r="227" spans="1:19" ht="14.25">
      <c r="A227" s="337" t="s">
        <v>1107</v>
      </c>
      <c r="B227" s="332">
        <v>0</v>
      </c>
      <c r="C227" s="332">
        <v>0</v>
      </c>
      <c r="D227" s="333"/>
      <c r="E227" s="329">
        <v>160</v>
      </c>
      <c r="F227" s="329">
        <v>139</v>
      </c>
      <c r="G227" s="335">
        <v>15.107913669064748</v>
      </c>
      <c r="H227" s="336"/>
      <c r="I227" s="336"/>
      <c r="J227" s="335"/>
      <c r="K227" s="342"/>
      <c r="L227" s="342"/>
      <c r="M227" s="336"/>
      <c r="N227" s="336"/>
      <c r="O227" s="336"/>
      <c r="P227" s="336"/>
      <c r="Q227" s="342"/>
      <c r="R227" s="345"/>
      <c r="S227" s="345"/>
    </row>
    <row r="228" spans="1:19" ht="14.25">
      <c r="A228" s="337" t="s">
        <v>1108</v>
      </c>
      <c r="B228" s="332">
        <v>288</v>
      </c>
      <c r="C228" s="332">
        <v>322</v>
      </c>
      <c r="D228" s="333">
        <f t="shared" si="30"/>
        <v>-10.559006211180119</v>
      </c>
      <c r="E228" s="329">
        <v>180</v>
      </c>
      <c r="F228" s="329">
        <v>160</v>
      </c>
      <c r="G228" s="335">
        <v>12.5</v>
      </c>
      <c r="H228" s="336"/>
      <c r="I228" s="336"/>
      <c r="J228" s="335"/>
      <c r="K228" s="342"/>
      <c r="L228" s="342"/>
      <c r="M228" s="336"/>
      <c r="N228" s="336"/>
      <c r="O228" s="336"/>
      <c r="P228" s="336"/>
      <c r="Q228" s="342">
        <v>322</v>
      </c>
      <c r="R228" s="345">
        <v>156</v>
      </c>
      <c r="S228" s="333">
        <f aca="true" t="shared" si="35" ref="S228:S232">Q228/R228*100-100</f>
        <v>106.41025641025644</v>
      </c>
    </row>
    <row r="229" spans="1:19" ht="14.25">
      <c r="A229" s="337" t="s">
        <v>1109</v>
      </c>
      <c r="B229" s="332">
        <v>0</v>
      </c>
      <c r="C229" s="332">
        <v>6</v>
      </c>
      <c r="D229" s="333">
        <f t="shared" si="30"/>
        <v>-100</v>
      </c>
      <c r="E229" s="329"/>
      <c r="F229" s="329"/>
      <c r="G229" s="335"/>
      <c r="H229" s="336"/>
      <c r="I229" s="336"/>
      <c r="J229" s="335"/>
      <c r="K229" s="342"/>
      <c r="L229" s="342"/>
      <c r="M229" s="336"/>
      <c r="N229" s="336"/>
      <c r="O229" s="336"/>
      <c r="P229" s="336"/>
      <c r="Q229" s="342">
        <v>6</v>
      </c>
      <c r="R229" s="345"/>
      <c r="S229" s="345"/>
    </row>
    <row r="230" spans="1:19" ht="14.25">
      <c r="A230" s="337" t="s">
        <v>1110</v>
      </c>
      <c r="B230" s="332">
        <v>9</v>
      </c>
      <c r="C230" s="332">
        <v>231</v>
      </c>
      <c r="D230" s="333">
        <f t="shared" si="30"/>
        <v>-96.1038961038961</v>
      </c>
      <c r="E230" s="329">
        <v>305</v>
      </c>
      <c r="F230" s="329">
        <v>252</v>
      </c>
      <c r="G230" s="335">
        <v>21.03174603174603</v>
      </c>
      <c r="H230" s="336">
        <v>900</v>
      </c>
      <c r="I230" s="336">
        <v>600</v>
      </c>
      <c r="J230" s="335">
        <f aca="true" t="shared" si="36" ref="J230:J232">H230/I230*100-100</f>
        <v>50</v>
      </c>
      <c r="K230" s="347">
        <v>106</v>
      </c>
      <c r="L230" s="341">
        <v>92</v>
      </c>
      <c r="M230" s="336"/>
      <c r="N230" s="336"/>
      <c r="O230" s="336"/>
      <c r="P230" s="336"/>
      <c r="Q230" s="342">
        <v>125</v>
      </c>
      <c r="R230" s="345">
        <v>25</v>
      </c>
      <c r="S230" s="333">
        <f t="shared" si="35"/>
        <v>400</v>
      </c>
    </row>
    <row r="231" spans="1:19" ht="14.25">
      <c r="A231" s="337" t="s">
        <v>1111</v>
      </c>
      <c r="B231" s="332">
        <v>58</v>
      </c>
      <c r="C231" s="332">
        <v>78</v>
      </c>
      <c r="D231" s="333">
        <f t="shared" si="30"/>
        <v>-25.641025641025635</v>
      </c>
      <c r="E231" s="329">
        <v>135</v>
      </c>
      <c r="F231" s="329">
        <v>118</v>
      </c>
      <c r="G231" s="335">
        <v>14.40677966101695</v>
      </c>
      <c r="H231" s="336">
        <v>200</v>
      </c>
      <c r="I231" s="336">
        <v>200</v>
      </c>
      <c r="J231" s="335">
        <f t="shared" si="36"/>
        <v>0</v>
      </c>
      <c r="K231" s="342"/>
      <c r="L231" s="342"/>
      <c r="M231" s="336"/>
      <c r="N231" s="336"/>
      <c r="O231" s="336"/>
      <c r="P231" s="336"/>
      <c r="Q231" s="342">
        <v>78</v>
      </c>
      <c r="R231" s="345">
        <v>64</v>
      </c>
      <c r="S231" s="333">
        <f t="shared" si="35"/>
        <v>21.875</v>
      </c>
    </row>
    <row r="232" spans="1:19" ht="14.25">
      <c r="A232" s="337" t="s">
        <v>1112</v>
      </c>
      <c r="B232" s="332">
        <v>58</v>
      </c>
      <c r="C232" s="332">
        <v>78</v>
      </c>
      <c r="D232" s="333">
        <f t="shared" si="30"/>
        <v>-25.641025641025635</v>
      </c>
      <c r="E232" s="329">
        <v>120</v>
      </c>
      <c r="F232" s="329">
        <v>110</v>
      </c>
      <c r="G232" s="335">
        <v>9.090909090909092</v>
      </c>
      <c r="H232" s="336">
        <v>200</v>
      </c>
      <c r="I232" s="336">
        <v>200</v>
      </c>
      <c r="J232" s="335">
        <f t="shared" si="36"/>
        <v>0</v>
      </c>
      <c r="K232" s="342"/>
      <c r="L232" s="342"/>
      <c r="M232" s="336"/>
      <c r="N232" s="336"/>
      <c r="O232" s="336"/>
      <c r="P232" s="336"/>
      <c r="Q232" s="342">
        <v>78</v>
      </c>
      <c r="R232" s="345">
        <v>64</v>
      </c>
      <c r="S232" s="333">
        <f t="shared" si="35"/>
        <v>21.875</v>
      </c>
    </row>
    <row r="233" spans="1:19" ht="14.25">
      <c r="A233" s="337" t="s">
        <v>1113</v>
      </c>
      <c r="B233" s="332">
        <v>0</v>
      </c>
      <c r="C233" s="332">
        <v>0</v>
      </c>
      <c r="D233" s="333"/>
      <c r="E233" s="329">
        <v>15</v>
      </c>
      <c r="F233" s="329">
        <v>8</v>
      </c>
      <c r="G233" s="335">
        <v>87.5</v>
      </c>
      <c r="H233" s="336"/>
      <c r="I233" s="336"/>
      <c r="J233" s="335"/>
      <c r="K233" s="342"/>
      <c r="L233" s="342"/>
      <c r="M233" s="336"/>
      <c r="N233" s="336"/>
      <c r="O233" s="336"/>
      <c r="P233" s="336"/>
      <c r="Q233" s="342"/>
      <c r="R233" s="345"/>
      <c r="S233" s="345"/>
    </row>
    <row r="234" spans="1:19" ht="14.25">
      <c r="A234" s="337" t="s">
        <v>1114</v>
      </c>
      <c r="B234" s="332">
        <v>0</v>
      </c>
      <c r="C234" s="332">
        <v>0</v>
      </c>
      <c r="D234" s="333"/>
      <c r="E234" s="329"/>
      <c r="F234" s="329"/>
      <c r="G234" s="335"/>
      <c r="H234" s="336"/>
      <c r="I234" s="336"/>
      <c r="J234" s="335"/>
      <c r="K234" s="342"/>
      <c r="L234" s="342"/>
      <c r="M234" s="336"/>
      <c r="N234" s="336"/>
      <c r="O234" s="336"/>
      <c r="P234" s="336"/>
      <c r="Q234" s="342"/>
      <c r="R234" s="345"/>
      <c r="S234" s="345"/>
    </row>
    <row r="235" spans="1:19" ht="14.25">
      <c r="A235" s="337" t="s">
        <v>1115</v>
      </c>
      <c r="B235" s="332">
        <v>2</v>
      </c>
      <c r="C235" s="332">
        <v>29</v>
      </c>
      <c r="D235" s="333">
        <f t="shared" si="30"/>
        <v>-93.10344827586206</v>
      </c>
      <c r="E235" s="329">
        <v>235</v>
      </c>
      <c r="F235" s="329">
        <v>186</v>
      </c>
      <c r="G235" s="335">
        <v>26.344086021505376</v>
      </c>
      <c r="H235" s="336">
        <v>100</v>
      </c>
      <c r="I235" s="336">
        <v>150</v>
      </c>
      <c r="J235" s="335">
        <f>H235/I235*100-100</f>
        <v>-33.33333333333334</v>
      </c>
      <c r="K235" s="347">
        <v>9</v>
      </c>
      <c r="L235" s="341">
        <v>8</v>
      </c>
      <c r="M235" s="336"/>
      <c r="N235" s="336"/>
      <c r="O235" s="336"/>
      <c r="P235" s="336"/>
      <c r="Q235" s="342">
        <v>20</v>
      </c>
      <c r="R235" s="345">
        <v>2</v>
      </c>
      <c r="S235" s="333">
        <f>Q235/R235*100-100</f>
        <v>900</v>
      </c>
    </row>
    <row r="236" spans="1:19" ht="14.25">
      <c r="A236" s="337" t="s">
        <v>1116</v>
      </c>
      <c r="B236" s="332">
        <v>0</v>
      </c>
      <c r="C236" s="332">
        <v>0</v>
      </c>
      <c r="D236" s="333"/>
      <c r="E236" s="329">
        <v>20</v>
      </c>
      <c r="F236" s="329">
        <v>20</v>
      </c>
      <c r="G236" s="335">
        <v>0</v>
      </c>
      <c r="H236" s="336">
        <v>100</v>
      </c>
      <c r="I236" s="336">
        <v>150</v>
      </c>
      <c r="J236" s="335">
        <f>H236/I236*100-100</f>
        <v>-33.33333333333334</v>
      </c>
      <c r="K236" s="342"/>
      <c r="L236" s="342"/>
      <c r="M236" s="336"/>
      <c r="N236" s="336"/>
      <c r="O236" s="336"/>
      <c r="P236" s="336"/>
      <c r="Q236" s="342"/>
      <c r="R236" s="345"/>
      <c r="S236" s="345"/>
    </row>
    <row r="237" spans="1:19" ht="14.25">
      <c r="A237" s="337" t="s">
        <v>1117</v>
      </c>
      <c r="B237" s="332">
        <v>0</v>
      </c>
      <c r="C237" s="332">
        <v>0</v>
      </c>
      <c r="D237" s="333"/>
      <c r="E237" s="329">
        <v>121</v>
      </c>
      <c r="F237" s="329">
        <v>121</v>
      </c>
      <c r="G237" s="335">
        <v>0</v>
      </c>
      <c r="H237" s="336"/>
      <c r="I237" s="336"/>
      <c r="J237" s="335"/>
      <c r="K237" s="342"/>
      <c r="L237" s="342"/>
      <c r="M237" s="336"/>
      <c r="N237" s="336"/>
      <c r="O237" s="336"/>
      <c r="P237" s="336"/>
      <c r="Q237" s="342"/>
      <c r="R237" s="345"/>
      <c r="S237" s="345"/>
    </row>
    <row r="238" spans="1:19" ht="14.25">
      <c r="A238" s="337" t="s">
        <v>1118</v>
      </c>
      <c r="B238" s="332">
        <v>0</v>
      </c>
      <c r="C238" s="332">
        <v>17</v>
      </c>
      <c r="D238" s="333">
        <f t="shared" si="30"/>
        <v>-100</v>
      </c>
      <c r="E238" s="329"/>
      <c r="F238" s="329"/>
      <c r="G238" s="335"/>
      <c r="H238" s="336"/>
      <c r="I238" s="336"/>
      <c r="J238" s="335"/>
      <c r="K238" s="342"/>
      <c r="L238" s="342"/>
      <c r="M238" s="336"/>
      <c r="N238" s="336"/>
      <c r="O238" s="336"/>
      <c r="P238" s="336"/>
      <c r="Q238" s="342">
        <v>17</v>
      </c>
      <c r="R238" s="345"/>
      <c r="S238" s="345"/>
    </row>
    <row r="239" spans="1:19" ht="14.25">
      <c r="A239" s="337" t="s">
        <v>1119</v>
      </c>
      <c r="B239" s="332">
        <v>0</v>
      </c>
      <c r="C239" s="332">
        <v>0</v>
      </c>
      <c r="D239" s="333"/>
      <c r="E239" s="329">
        <v>44</v>
      </c>
      <c r="F239" s="329">
        <v>44</v>
      </c>
      <c r="G239" s="335">
        <v>0</v>
      </c>
      <c r="H239" s="336"/>
      <c r="I239" s="336"/>
      <c r="J239" s="335"/>
      <c r="K239" s="342"/>
      <c r="L239" s="342"/>
      <c r="M239" s="336"/>
      <c r="N239" s="336"/>
      <c r="O239" s="336"/>
      <c r="P239" s="336"/>
      <c r="Q239" s="342"/>
      <c r="R239" s="345"/>
      <c r="S239" s="345"/>
    </row>
    <row r="240" spans="1:19" ht="14.25">
      <c r="A240" s="337" t="s">
        <v>1120</v>
      </c>
      <c r="B240" s="332">
        <v>2</v>
      </c>
      <c r="C240" s="332">
        <v>11</v>
      </c>
      <c r="D240" s="333">
        <f t="shared" si="30"/>
        <v>-81.81818181818181</v>
      </c>
      <c r="E240" s="329">
        <v>50</v>
      </c>
      <c r="F240" s="329">
        <v>1</v>
      </c>
      <c r="G240" s="335">
        <v>4900</v>
      </c>
      <c r="H240" s="336"/>
      <c r="I240" s="336"/>
      <c r="J240" s="335"/>
      <c r="K240" s="347">
        <v>9</v>
      </c>
      <c r="L240" s="341">
        <v>8</v>
      </c>
      <c r="M240" s="336"/>
      <c r="N240" s="336"/>
      <c r="O240" s="336"/>
      <c r="P240" s="336"/>
      <c r="Q240" s="342">
        <v>2</v>
      </c>
      <c r="R240" s="345">
        <v>2</v>
      </c>
      <c r="S240" s="333">
        <f aca="true" t="shared" si="37" ref="S240:S247">Q240/R240*100-100</f>
        <v>0</v>
      </c>
    </row>
    <row r="241" spans="1:19" ht="14.25">
      <c r="A241" s="337" t="s">
        <v>1121</v>
      </c>
      <c r="B241" s="332">
        <v>261</v>
      </c>
      <c r="C241" s="332">
        <v>189</v>
      </c>
      <c r="D241" s="333">
        <f t="shared" si="30"/>
        <v>38.0952380952381</v>
      </c>
      <c r="E241" s="329">
        <v>126</v>
      </c>
      <c r="F241" s="329">
        <v>126</v>
      </c>
      <c r="G241" s="335">
        <v>0</v>
      </c>
      <c r="H241" s="336">
        <v>250</v>
      </c>
      <c r="I241" s="336">
        <v>130</v>
      </c>
      <c r="J241" s="335">
        <f>H241/I241*100-100</f>
        <v>92.30769230769232</v>
      </c>
      <c r="K241" s="347">
        <v>9</v>
      </c>
      <c r="L241" s="341">
        <v>8</v>
      </c>
      <c r="M241" s="336"/>
      <c r="N241" s="336"/>
      <c r="O241" s="336"/>
      <c r="P241" s="336"/>
      <c r="Q241" s="342">
        <v>180</v>
      </c>
      <c r="R241" s="345">
        <v>160</v>
      </c>
      <c r="S241" s="333">
        <f t="shared" si="37"/>
        <v>12.5</v>
      </c>
    </row>
    <row r="242" spans="1:19" ht="14.25">
      <c r="A242" s="337" t="s">
        <v>1122</v>
      </c>
      <c r="B242" s="332">
        <v>0</v>
      </c>
      <c r="C242" s="332">
        <v>0</v>
      </c>
      <c r="D242" s="333"/>
      <c r="E242" s="329">
        <v>2</v>
      </c>
      <c r="F242" s="329">
        <v>2</v>
      </c>
      <c r="G242" s="335">
        <v>0</v>
      </c>
      <c r="H242" s="336"/>
      <c r="I242" s="336"/>
      <c r="J242" s="335"/>
      <c r="K242" s="342"/>
      <c r="L242" s="342"/>
      <c r="M242" s="336"/>
      <c r="N242" s="336"/>
      <c r="O242" s="336"/>
      <c r="P242" s="336"/>
      <c r="Q242" s="342"/>
      <c r="R242" s="345"/>
      <c r="S242" s="345"/>
    </row>
    <row r="243" spans="1:19" ht="14.25">
      <c r="A243" s="337" t="s">
        <v>1123</v>
      </c>
      <c r="B243" s="332">
        <v>0</v>
      </c>
      <c r="C243" s="332">
        <v>0</v>
      </c>
      <c r="D243" s="333"/>
      <c r="E243" s="329">
        <v>15</v>
      </c>
      <c r="F243" s="329">
        <v>15</v>
      </c>
      <c r="G243" s="335">
        <v>0</v>
      </c>
      <c r="H243" s="336"/>
      <c r="I243" s="336"/>
      <c r="J243" s="335"/>
      <c r="K243" s="342"/>
      <c r="L243" s="342"/>
      <c r="M243" s="336"/>
      <c r="N243" s="336"/>
      <c r="O243" s="336"/>
      <c r="P243" s="336"/>
      <c r="Q243" s="342"/>
      <c r="R243" s="345"/>
      <c r="S243" s="345"/>
    </row>
    <row r="244" spans="1:19" ht="14.25">
      <c r="A244" s="337" t="s">
        <v>1124</v>
      </c>
      <c r="B244" s="332">
        <v>261</v>
      </c>
      <c r="C244" s="332">
        <v>189</v>
      </c>
      <c r="D244" s="333">
        <f t="shared" si="30"/>
        <v>38.0952380952381</v>
      </c>
      <c r="E244" s="329">
        <v>109</v>
      </c>
      <c r="F244" s="329">
        <v>109</v>
      </c>
      <c r="G244" s="335">
        <v>0</v>
      </c>
      <c r="H244" s="336">
        <v>250</v>
      </c>
      <c r="I244" s="336">
        <v>130</v>
      </c>
      <c r="J244" s="335">
        <f>H244/I244*100-100</f>
        <v>92.30769230769232</v>
      </c>
      <c r="K244" s="347">
        <v>9</v>
      </c>
      <c r="L244" s="341">
        <v>8</v>
      </c>
      <c r="M244" s="336"/>
      <c r="N244" s="336"/>
      <c r="O244" s="336"/>
      <c r="P244" s="336"/>
      <c r="Q244" s="342">
        <v>180</v>
      </c>
      <c r="R244" s="345">
        <v>160</v>
      </c>
      <c r="S244" s="333">
        <f t="shared" si="37"/>
        <v>12.5</v>
      </c>
    </row>
    <row r="245" spans="1:19" ht="14.25">
      <c r="A245" s="337" t="s">
        <v>1125</v>
      </c>
      <c r="B245" s="332">
        <v>620</v>
      </c>
      <c r="C245" s="332">
        <v>522</v>
      </c>
      <c r="D245" s="333">
        <f t="shared" si="30"/>
        <v>18.77394636015326</v>
      </c>
      <c r="E245" s="329">
        <v>2832</v>
      </c>
      <c r="F245" s="329">
        <v>1000</v>
      </c>
      <c r="G245" s="335">
        <v>183.2</v>
      </c>
      <c r="H245" s="336"/>
      <c r="I245" s="336"/>
      <c r="J245" s="335"/>
      <c r="K245" s="342"/>
      <c r="L245" s="342"/>
      <c r="M245" s="336"/>
      <c r="N245" s="336"/>
      <c r="O245" s="336"/>
      <c r="P245" s="336"/>
      <c r="Q245" s="342">
        <v>522</v>
      </c>
      <c r="R245" s="345">
        <v>406</v>
      </c>
      <c r="S245" s="333">
        <f t="shared" si="37"/>
        <v>28.571428571428584</v>
      </c>
    </row>
    <row r="246" spans="1:19" ht="14.25">
      <c r="A246" s="337" t="s">
        <v>1126</v>
      </c>
      <c r="B246" s="332">
        <v>0</v>
      </c>
      <c r="C246" s="332">
        <v>1</v>
      </c>
      <c r="D246" s="333">
        <f t="shared" si="30"/>
        <v>-100</v>
      </c>
      <c r="E246" s="329"/>
      <c r="F246" s="329"/>
      <c r="G246" s="335"/>
      <c r="H246" s="336"/>
      <c r="I246" s="336"/>
      <c r="J246" s="335"/>
      <c r="K246" s="342"/>
      <c r="L246" s="342"/>
      <c r="M246" s="336"/>
      <c r="N246" s="336"/>
      <c r="O246" s="336"/>
      <c r="P246" s="336"/>
      <c r="Q246" s="342">
        <v>1</v>
      </c>
      <c r="R246" s="345">
        <v>6</v>
      </c>
      <c r="S246" s="333">
        <f t="shared" si="37"/>
        <v>-83.33333333333334</v>
      </c>
    </row>
    <row r="247" spans="1:19" ht="14.25">
      <c r="A247" s="337" t="s">
        <v>1127</v>
      </c>
      <c r="B247" s="332">
        <v>620</v>
      </c>
      <c r="C247" s="332">
        <v>521</v>
      </c>
      <c r="D247" s="333">
        <f t="shared" si="30"/>
        <v>19.00191938579654</v>
      </c>
      <c r="E247" s="329">
        <v>2832</v>
      </c>
      <c r="F247" s="329">
        <v>1000</v>
      </c>
      <c r="G247" s="335">
        <v>183.2</v>
      </c>
      <c r="H247" s="336"/>
      <c r="I247" s="336"/>
      <c r="J247" s="335"/>
      <c r="K247" s="342"/>
      <c r="L247" s="342"/>
      <c r="M247" s="336"/>
      <c r="N247" s="336"/>
      <c r="O247" s="336"/>
      <c r="P247" s="336"/>
      <c r="Q247" s="342">
        <v>521</v>
      </c>
      <c r="R247" s="345">
        <v>400</v>
      </c>
      <c r="S247" s="333">
        <f t="shared" si="37"/>
        <v>30.25</v>
      </c>
    </row>
    <row r="248" spans="1:19" ht="14.25">
      <c r="A248" s="337" t="s">
        <v>1128</v>
      </c>
      <c r="B248" s="332">
        <v>0</v>
      </c>
      <c r="C248" s="332">
        <v>3</v>
      </c>
      <c r="D248" s="333">
        <f t="shared" si="30"/>
        <v>-100</v>
      </c>
      <c r="E248" s="329"/>
      <c r="F248" s="329"/>
      <c r="G248" s="335"/>
      <c r="H248" s="336"/>
      <c r="I248" s="336"/>
      <c r="J248" s="335"/>
      <c r="K248" s="342"/>
      <c r="L248" s="342"/>
      <c r="M248" s="336"/>
      <c r="N248" s="336"/>
      <c r="O248" s="336"/>
      <c r="P248" s="336"/>
      <c r="Q248" s="342">
        <v>3</v>
      </c>
      <c r="R248" s="345"/>
      <c r="S248" s="345"/>
    </row>
    <row r="249" spans="1:19" ht="14.25">
      <c r="A249" s="337" t="s">
        <v>1129</v>
      </c>
      <c r="B249" s="332">
        <v>0</v>
      </c>
      <c r="C249" s="332">
        <v>3</v>
      </c>
      <c r="D249" s="333">
        <f t="shared" si="30"/>
        <v>-100</v>
      </c>
      <c r="E249" s="329"/>
      <c r="F249" s="329"/>
      <c r="G249" s="335"/>
      <c r="H249" s="336"/>
      <c r="I249" s="336"/>
      <c r="J249" s="335"/>
      <c r="K249" s="342"/>
      <c r="L249" s="342"/>
      <c r="M249" s="336"/>
      <c r="N249" s="336"/>
      <c r="O249" s="336"/>
      <c r="P249" s="336"/>
      <c r="Q249" s="342">
        <v>3</v>
      </c>
      <c r="R249" s="345"/>
      <c r="S249" s="345"/>
    </row>
    <row r="250" spans="1:19" ht="14.25">
      <c r="A250" s="337" t="s">
        <v>1130</v>
      </c>
      <c r="B250" s="332">
        <v>43</v>
      </c>
      <c r="C250" s="332">
        <v>662</v>
      </c>
      <c r="D250" s="333">
        <f t="shared" si="30"/>
        <v>-93.50453172205438</v>
      </c>
      <c r="E250" s="329">
        <v>794</v>
      </c>
      <c r="F250" s="329">
        <v>645</v>
      </c>
      <c r="G250" s="335">
        <v>23.10077519379845</v>
      </c>
      <c r="H250" s="336">
        <v>1500</v>
      </c>
      <c r="I250" s="336">
        <v>1700</v>
      </c>
      <c r="J250" s="335">
        <f aca="true" t="shared" si="38" ref="J250:J259">H250/I250*100-100</f>
        <v>-11.764705882352942</v>
      </c>
      <c r="K250" s="342">
        <v>231</v>
      </c>
      <c r="L250" s="342">
        <v>200</v>
      </c>
      <c r="M250" s="336"/>
      <c r="N250" s="336"/>
      <c r="O250" s="336"/>
      <c r="P250" s="336"/>
      <c r="Q250" s="342">
        <v>431</v>
      </c>
      <c r="R250" s="345">
        <v>130</v>
      </c>
      <c r="S250" s="333">
        <f aca="true" t="shared" si="39" ref="S250:S252">Q250/R250*100-100</f>
        <v>231.53846153846155</v>
      </c>
    </row>
    <row r="251" spans="1:19" ht="14.25">
      <c r="A251" s="337" t="s">
        <v>1131</v>
      </c>
      <c r="B251" s="332">
        <v>1</v>
      </c>
      <c r="C251" s="332">
        <v>599</v>
      </c>
      <c r="D251" s="333">
        <f t="shared" si="30"/>
        <v>-99.8330550918197</v>
      </c>
      <c r="E251" s="329">
        <v>496</v>
      </c>
      <c r="F251" s="329">
        <v>370</v>
      </c>
      <c r="G251" s="335">
        <v>34.054054054054056</v>
      </c>
      <c r="H251" s="336">
        <v>1400</v>
      </c>
      <c r="I251" s="336">
        <v>1000</v>
      </c>
      <c r="J251" s="335">
        <f t="shared" si="38"/>
        <v>40</v>
      </c>
      <c r="K251" s="347">
        <v>173</v>
      </c>
      <c r="L251" s="341">
        <v>150</v>
      </c>
      <c r="M251" s="336"/>
      <c r="N251" s="336"/>
      <c r="O251" s="336"/>
      <c r="P251" s="336"/>
      <c r="Q251" s="342">
        <v>426</v>
      </c>
      <c r="R251" s="345">
        <v>80</v>
      </c>
      <c r="S251" s="333">
        <f t="shared" si="39"/>
        <v>432.5</v>
      </c>
    </row>
    <row r="252" spans="1:19" ht="14.25">
      <c r="A252" s="337" t="s">
        <v>1132</v>
      </c>
      <c r="B252" s="332">
        <v>42</v>
      </c>
      <c r="C252" s="332">
        <v>63</v>
      </c>
      <c r="D252" s="333">
        <f t="shared" si="30"/>
        <v>-33.33333333333334</v>
      </c>
      <c r="E252" s="329">
        <v>298</v>
      </c>
      <c r="F252" s="329">
        <v>275</v>
      </c>
      <c r="G252" s="335">
        <v>8.363636363636363</v>
      </c>
      <c r="H252" s="336">
        <v>100</v>
      </c>
      <c r="I252" s="336">
        <v>700</v>
      </c>
      <c r="J252" s="335">
        <f t="shared" si="38"/>
        <v>-85.71428571428572</v>
      </c>
      <c r="K252" s="347">
        <v>58</v>
      </c>
      <c r="L252" s="341">
        <v>50</v>
      </c>
      <c r="M252" s="336"/>
      <c r="N252" s="336"/>
      <c r="O252" s="336"/>
      <c r="P252" s="336"/>
      <c r="Q252" s="342">
        <v>5</v>
      </c>
      <c r="R252" s="345">
        <v>50</v>
      </c>
      <c r="S252" s="333">
        <f t="shared" si="39"/>
        <v>-90</v>
      </c>
    </row>
    <row r="253" spans="1:19" ht="14.25">
      <c r="A253" s="337" t="s">
        <v>1133</v>
      </c>
      <c r="B253" s="332">
        <v>1</v>
      </c>
      <c r="C253" s="332">
        <v>69</v>
      </c>
      <c r="D253" s="333">
        <f t="shared" si="30"/>
        <v>-98.55072463768116</v>
      </c>
      <c r="E253" s="329"/>
      <c r="F253" s="329"/>
      <c r="G253" s="335"/>
      <c r="H253" s="336">
        <v>150</v>
      </c>
      <c r="I253" s="336">
        <v>100</v>
      </c>
      <c r="J253" s="335">
        <f t="shared" si="38"/>
        <v>50</v>
      </c>
      <c r="K253" s="342"/>
      <c r="L253" s="342"/>
      <c r="M253" s="336"/>
      <c r="N253" s="336"/>
      <c r="O253" s="336"/>
      <c r="P253" s="336"/>
      <c r="Q253" s="342">
        <v>69</v>
      </c>
      <c r="R253" s="345"/>
      <c r="S253" s="345"/>
    </row>
    <row r="254" spans="1:19" ht="14.25">
      <c r="A254" s="337" t="s">
        <v>1134</v>
      </c>
      <c r="B254" s="332">
        <v>1</v>
      </c>
      <c r="C254" s="332">
        <v>69</v>
      </c>
      <c r="D254" s="333">
        <f t="shared" si="30"/>
        <v>-98.55072463768116</v>
      </c>
      <c r="E254" s="329"/>
      <c r="F254" s="329"/>
      <c r="G254" s="335"/>
      <c r="H254" s="336">
        <v>150</v>
      </c>
      <c r="I254" s="336">
        <v>100</v>
      </c>
      <c r="J254" s="335">
        <f t="shared" si="38"/>
        <v>50</v>
      </c>
      <c r="K254" s="342"/>
      <c r="L254" s="342"/>
      <c r="M254" s="336"/>
      <c r="N254" s="336"/>
      <c r="O254" s="336"/>
      <c r="P254" s="336"/>
      <c r="Q254" s="342">
        <v>69</v>
      </c>
      <c r="R254" s="345"/>
      <c r="S254" s="345"/>
    </row>
    <row r="255" spans="1:19" ht="14.25">
      <c r="A255" s="337" t="s">
        <v>1135</v>
      </c>
      <c r="B255" s="332">
        <v>0</v>
      </c>
      <c r="C255" s="332">
        <v>0</v>
      </c>
      <c r="D255" s="333"/>
      <c r="E255" s="329">
        <v>235</v>
      </c>
      <c r="F255" s="329">
        <v>211</v>
      </c>
      <c r="G255" s="335">
        <v>11.374407582938389</v>
      </c>
      <c r="H255" s="336">
        <v>150</v>
      </c>
      <c r="I255" s="336">
        <v>360</v>
      </c>
      <c r="J255" s="335">
        <f t="shared" si="38"/>
        <v>-58.33333333333333</v>
      </c>
      <c r="K255" s="342"/>
      <c r="L255" s="342"/>
      <c r="M255" s="336"/>
      <c r="N255" s="336"/>
      <c r="O255" s="336"/>
      <c r="P255" s="336"/>
      <c r="Q255" s="342"/>
      <c r="R255" s="345"/>
      <c r="S255" s="345"/>
    </row>
    <row r="256" spans="1:19" ht="14.25">
      <c r="A256" s="337" t="s">
        <v>1136</v>
      </c>
      <c r="B256" s="332">
        <v>0</v>
      </c>
      <c r="C256" s="332">
        <v>2</v>
      </c>
      <c r="D256" s="333">
        <f t="shared" si="30"/>
        <v>-100</v>
      </c>
      <c r="E256" s="329">
        <v>235</v>
      </c>
      <c r="F256" s="329">
        <v>211</v>
      </c>
      <c r="G256" s="335">
        <v>11.374407582938389</v>
      </c>
      <c r="H256" s="336">
        <v>150</v>
      </c>
      <c r="I256" s="336">
        <v>360</v>
      </c>
      <c r="J256" s="335">
        <f t="shared" si="38"/>
        <v>-58.33333333333333</v>
      </c>
      <c r="K256" s="342"/>
      <c r="L256" s="342"/>
      <c r="M256" s="336"/>
      <c r="N256" s="336"/>
      <c r="O256" s="336"/>
      <c r="P256" s="336"/>
      <c r="Q256" s="342">
        <v>2</v>
      </c>
      <c r="R256" s="345"/>
      <c r="S256" s="345"/>
    </row>
    <row r="257" spans="1:19" ht="14.25">
      <c r="A257" s="337" t="s">
        <v>1137</v>
      </c>
      <c r="B257" s="332">
        <v>218.5</v>
      </c>
      <c r="C257" s="332">
        <v>45</v>
      </c>
      <c r="D257" s="333">
        <f t="shared" si="30"/>
        <v>385.55555555555554</v>
      </c>
      <c r="E257" s="329">
        <v>75</v>
      </c>
      <c r="F257" s="329">
        <v>42</v>
      </c>
      <c r="G257" s="335">
        <v>78.57142857142857</v>
      </c>
      <c r="H257" s="336">
        <v>100</v>
      </c>
      <c r="I257" s="336">
        <v>250</v>
      </c>
      <c r="J257" s="335">
        <f t="shared" si="38"/>
        <v>-60</v>
      </c>
      <c r="K257" s="342"/>
      <c r="L257" s="342"/>
      <c r="M257" s="336"/>
      <c r="N257" s="336"/>
      <c r="O257" s="336"/>
      <c r="P257" s="336"/>
      <c r="Q257" s="342">
        <v>45</v>
      </c>
      <c r="R257" s="345">
        <v>33</v>
      </c>
      <c r="S257" s="333">
        <f aca="true" t="shared" si="40" ref="S257:S270">Q257/R257*100-100</f>
        <v>36.363636363636346</v>
      </c>
    </row>
    <row r="258" spans="1:19" ht="14.25">
      <c r="A258" s="337" t="s">
        <v>1138</v>
      </c>
      <c r="B258" s="332">
        <v>0</v>
      </c>
      <c r="C258" s="332">
        <v>21</v>
      </c>
      <c r="D258" s="333">
        <f t="shared" si="30"/>
        <v>-100</v>
      </c>
      <c r="E258" s="329"/>
      <c r="F258" s="329"/>
      <c r="G258" s="335"/>
      <c r="H258" s="336"/>
      <c r="I258" s="336">
        <v>100</v>
      </c>
      <c r="J258" s="335">
        <f t="shared" si="38"/>
        <v>-100</v>
      </c>
      <c r="K258" s="342"/>
      <c r="L258" s="342"/>
      <c r="M258" s="336"/>
      <c r="N258" s="336"/>
      <c r="O258" s="336"/>
      <c r="P258" s="336"/>
      <c r="Q258" s="342">
        <v>21</v>
      </c>
      <c r="R258" s="345">
        <v>11</v>
      </c>
      <c r="S258" s="333">
        <f t="shared" si="40"/>
        <v>90.9090909090909</v>
      </c>
    </row>
    <row r="259" spans="1:19" ht="14.25">
      <c r="A259" s="337" t="s">
        <v>1139</v>
      </c>
      <c r="B259" s="332">
        <v>218.5</v>
      </c>
      <c r="C259" s="332">
        <v>24</v>
      </c>
      <c r="D259" s="333">
        <f t="shared" si="30"/>
        <v>810.4166666666666</v>
      </c>
      <c r="E259" s="329">
        <v>75</v>
      </c>
      <c r="F259" s="329">
        <v>42</v>
      </c>
      <c r="G259" s="335">
        <v>78.57142857142857</v>
      </c>
      <c r="H259" s="336">
        <v>100</v>
      </c>
      <c r="I259" s="336">
        <v>150</v>
      </c>
      <c r="J259" s="335">
        <f t="shared" si="38"/>
        <v>-33.33333333333334</v>
      </c>
      <c r="K259" s="342"/>
      <c r="L259" s="342"/>
      <c r="M259" s="336"/>
      <c r="N259" s="336"/>
      <c r="O259" s="336"/>
      <c r="P259" s="336"/>
      <c r="Q259" s="342">
        <v>24</v>
      </c>
      <c r="R259" s="345">
        <v>22</v>
      </c>
      <c r="S259" s="333">
        <f t="shared" si="40"/>
        <v>9.09090909090908</v>
      </c>
    </row>
    <row r="260" spans="1:19" ht="14.25">
      <c r="A260" s="337" t="s">
        <v>1140</v>
      </c>
      <c r="B260" s="332">
        <v>23</v>
      </c>
      <c r="C260" s="332"/>
      <c r="D260" s="333"/>
      <c r="E260" s="329"/>
      <c r="F260" s="329"/>
      <c r="G260" s="335"/>
      <c r="H260" s="336"/>
      <c r="I260" s="336"/>
      <c r="J260" s="335"/>
      <c r="K260" s="342"/>
      <c r="L260" s="342"/>
      <c r="M260" s="336"/>
      <c r="N260" s="336"/>
      <c r="O260" s="336"/>
      <c r="P260" s="336"/>
      <c r="Q260" s="342"/>
      <c r="R260" s="345"/>
      <c r="S260" s="333"/>
    </row>
    <row r="261" spans="1:19" ht="14.25">
      <c r="A261" s="337" t="s">
        <v>1141</v>
      </c>
      <c r="B261" s="332">
        <v>23</v>
      </c>
      <c r="C261" s="332"/>
      <c r="D261" s="333"/>
      <c r="E261" s="329"/>
      <c r="F261" s="329"/>
      <c r="G261" s="335"/>
      <c r="H261" s="336"/>
      <c r="I261" s="336"/>
      <c r="J261" s="335"/>
      <c r="K261" s="342"/>
      <c r="L261" s="342"/>
      <c r="M261" s="336"/>
      <c r="N261" s="336"/>
      <c r="O261" s="336"/>
      <c r="P261" s="336"/>
      <c r="Q261" s="342"/>
      <c r="R261" s="345"/>
      <c r="S261" s="333"/>
    </row>
    <row r="262" spans="1:19" ht="14.25">
      <c r="A262" s="337" t="s">
        <v>1142</v>
      </c>
      <c r="B262" s="332">
        <v>2</v>
      </c>
      <c r="C262" s="332"/>
      <c r="D262" s="333"/>
      <c r="E262" s="329"/>
      <c r="F262" s="329"/>
      <c r="G262" s="335"/>
      <c r="H262" s="336"/>
      <c r="I262" s="336"/>
      <c r="J262" s="335"/>
      <c r="K262" s="342"/>
      <c r="L262" s="342"/>
      <c r="M262" s="336"/>
      <c r="N262" s="336"/>
      <c r="O262" s="336"/>
      <c r="P262" s="336"/>
      <c r="Q262" s="342"/>
      <c r="R262" s="345"/>
      <c r="S262" s="333"/>
    </row>
    <row r="263" spans="1:19" ht="14.25">
      <c r="A263" s="337" t="s">
        <v>1143</v>
      </c>
      <c r="B263" s="332">
        <v>1</v>
      </c>
      <c r="C263" s="332"/>
      <c r="D263" s="333"/>
      <c r="E263" s="329"/>
      <c r="F263" s="329"/>
      <c r="G263" s="335"/>
      <c r="H263" s="336"/>
      <c r="I263" s="336"/>
      <c r="J263" s="335"/>
      <c r="K263" s="342"/>
      <c r="L263" s="342"/>
      <c r="M263" s="336"/>
      <c r="N263" s="336"/>
      <c r="O263" s="336"/>
      <c r="P263" s="336"/>
      <c r="Q263" s="342"/>
      <c r="R263" s="345"/>
      <c r="S263" s="333"/>
    </row>
    <row r="264" spans="1:19" ht="14.25">
      <c r="A264" s="337" t="s">
        <v>1088</v>
      </c>
      <c r="B264" s="332">
        <v>0.24</v>
      </c>
      <c r="C264" s="332"/>
      <c r="D264" s="333"/>
      <c r="E264" s="329"/>
      <c r="F264" s="329"/>
      <c r="G264" s="335"/>
      <c r="H264" s="336"/>
      <c r="I264" s="336"/>
      <c r="J264" s="335"/>
      <c r="K264" s="342"/>
      <c r="L264" s="342"/>
      <c r="M264" s="336"/>
      <c r="N264" s="336"/>
      <c r="O264" s="336"/>
      <c r="P264" s="336"/>
      <c r="Q264" s="342"/>
      <c r="R264" s="345"/>
      <c r="S264" s="333"/>
    </row>
    <row r="265" spans="1:19" ht="14.25">
      <c r="A265" s="337" t="s">
        <v>1144</v>
      </c>
      <c r="B265" s="332">
        <v>1</v>
      </c>
      <c r="C265" s="332"/>
      <c r="D265" s="333"/>
      <c r="E265" s="329"/>
      <c r="F265" s="329"/>
      <c r="G265" s="335"/>
      <c r="H265" s="336"/>
      <c r="I265" s="336"/>
      <c r="J265" s="335"/>
      <c r="K265" s="342"/>
      <c r="L265" s="342"/>
      <c r="M265" s="336"/>
      <c r="N265" s="336"/>
      <c r="O265" s="336"/>
      <c r="P265" s="336"/>
      <c r="Q265" s="342"/>
      <c r="R265" s="345"/>
      <c r="S265" s="333"/>
    </row>
    <row r="266" spans="1:19" ht="14.25">
      <c r="A266" s="337" t="s">
        <v>1145</v>
      </c>
      <c r="B266" s="332">
        <v>1826</v>
      </c>
      <c r="C266" s="332">
        <v>913</v>
      </c>
      <c r="D266" s="333">
        <f aca="true" t="shared" si="41" ref="D266:D325">B266/C266*100-100</f>
        <v>100</v>
      </c>
      <c r="E266" s="329">
        <v>300</v>
      </c>
      <c r="F266" s="329">
        <v>266</v>
      </c>
      <c r="G266" s="335">
        <v>12.781954887218044</v>
      </c>
      <c r="H266" s="336">
        <v>400</v>
      </c>
      <c r="I266" s="336">
        <v>50</v>
      </c>
      <c r="J266" s="335">
        <f aca="true" t="shared" si="42" ref="J266:J269">H266/I266*100-100</f>
        <v>700</v>
      </c>
      <c r="K266" s="342"/>
      <c r="L266" s="342"/>
      <c r="M266" s="336"/>
      <c r="N266" s="336"/>
      <c r="O266" s="336"/>
      <c r="P266" s="336"/>
      <c r="Q266" s="342">
        <v>913</v>
      </c>
      <c r="R266" s="345">
        <v>641</v>
      </c>
      <c r="S266" s="333">
        <f t="shared" si="40"/>
        <v>42.43369734789391</v>
      </c>
    </row>
    <row r="267" spans="1:19" ht="14.25">
      <c r="A267" s="337" t="s">
        <v>1146</v>
      </c>
      <c r="B267" s="332">
        <v>1826</v>
      </c>
      <c r="C267" s="332">
        <v>1127</v>
      </c>
      <c r="D267" s="333">
        <f t="shared" si="41"/>
        <v>62.02307009760426</v>
      </c>
      <c r="E267" s="329">
        <v>300</v>
      </c>
      <c r="F267" s="329">
        <v>266</v>
      </c>
      <c r="G267" s="335">
        <v>12.781954887218044</v>
      </c>
      <c r="H267" s="336">
        <v>400</v>
      </c>
      <c r="I267" s="336">
        <v>50</v>
      </c>
      <c r="J267" s="335">
        <f t="shared" si="42"/>
        <v>700</v>
      </c>
      <c r="K267" s="342"/>
      <c r="L267" s="342"/>
      <c r="M267" s="336"/>
      <c r="N267" s="336"/>
      <c r="O267" s="336"/>
      <c r="P267" s="336"/>
      <c r="Q267" s="342">
        <v>1127</v>
      </c>
      <c r="R267" s="345">
        <v>641</v>
      </c>
      <c r="S267" s="333">
        <f t="shared" si="40"/>
        <v>75.81903276131047</v>
      </c>
    </row>
    <row r="268" spans="1:19" ht="14.25">
      <c r="A268" s="331" t="s">
        <v>1147</v>
      </c>
      <c r="B268" s="332">
        <v>5114</v>
      </c>
      <c r="C268" s="332">
        <v>3635</v>
      </c>
      <c r="D268" s="333">
        <f t="shared" si="41"/>
        <v>40.68775790921595</v>
      </c>
      <c r="E268" s="329">
        <v>5381</v>
      </c>
      <c r="F268" s="329">
        <v>4144</v>
      </c>
      <c r="G268" s="335">
        <v>29.8503861003861</v>
      </c>
      <c r="H268" s="336">
        <f>H273+H277+H285+H293+H297</f>
        <v>7730</v>
      </c>
      <c r="I268" s="336">
        <v>6210</v>
      </c>
      <c r="J268" s="335">
        <f t="shared" si="42"/>
        <v>24.47665056360708</v>
      </c>
      <c r="K268" s="347">
        <v>943</v>
      </c>
      <c r="L268" s="341">
        <v>820</v>
      </c>
      <c r="M268" s="336"/>
      <c r="N268" s="336"/>
      <c r="O268" s="336"/>
      <c r="P268" s="336"/>
      <c r="Q268" s="342">
        <v>2692</v>
      </c>
      <c r="R268" s="345">
        <v>1677</v>
      </c>
      <c r="S268" s="333">
        <f t="shared" si="40"/>
        <v>60.52474657125819</v>
      </c>
    </row>
    <row r="269" spans="1:19" ht="14.25">
      <c r="A269" s="337" t="s">
        <v>1148</v>
      </c>
      <c r="B269" s="332">
        <v>1326</v>
      </c>
      <c r="C269" s="332">
        <v>279</v>
      </c>
      <c r="D269" s="333">
        <f t="shared" si="41"/>
        <v>375.2688172043011</v>
      </c>
      <c r="E269" s="329">
        <v>238</v>
      </c>
      <c r="F269" s="329">
        <v>238</v>
      </c>
      <c r="G269" s="335">
        <v>0</v>
      </c>
      <c r="H269" s="336"/>
      <c r="I269" s="336">
        <v>200</v>
      </c>
      <c r="J269" s="335">
        <f t="shared" si="42"/>
        <v>-100</v>
      </c>
      <c r="K269" s="342"/>
      <c r="L269" s="342"/>
      <c r="M269" s="336"/>
      <c r="N269" s="336"/>
      <c r="O269" s="336"/>
      <c r="P269" s="336"/>
      <c r="Q269" s="342">
        <v>279</v>
      </c>
      <c r="R269" s="345">
        <v>219</v>
      </c>
      <c r="S269" s="333">
        <f t="shared" si="40"/>
        <v>27.397260273972606</v>
      </c>
    </row>
    <row r="270" spans="1:19" ht="14.25">
      <c r="A270" s="337" t="s">
        <v>928</v>
      </c>
      <c r="B270" s="332">
        <v>367</v>
      </c>
      <c r="C270" s="332">
        <v>231</v>
      </c>
      <c r="D270" s="333">
        <f t="shared" si="41"/>
        <v>58.87445887445887</v>
      </c>
      <c r="E270" s="329"/>
      <c r="F270" s="329"/>
      <c r="G270" s="335"/>
      <c r="H270" s="336"/>
      <c r="I270" s="336"/>
      <c r="J270" s="335"/>
      <c r="K270" s="342"/>
      <c r="L270" s="342"/>
      <c r="M270" s="336"/>
      <c r="N270" s="336"/>
      <c r="O270" s="336"/>
      <c r="P270" s="336"/>
      <c r="Q270" s="342">
        <v>231</v>
      </c>
      <c r="R270" s="345">
        <v>165</v>
      </c>
      <c r="S270" s="333">
        <f t="shared" si="40"/>
        <v>40</v>
      </c>
    </row>
    <row r="271" spans="1:19" ht="14.25">
      <c r="A271" s="337" t="s">
        <v>924</v>
      </c>
      <c r="B271" s="332">
        <v>0</v>
      </c>
      <c r="C271" s="332">
        <v>0</v>
      </c>
      <c r="D271" s="333"/>
      <c r="E271" s="329">
        <v>238</v>
      </c>
      <c r="F271" s="329">
        <v>238</v>
      </c>
      <c r="G271" s="335">
        <v>0</v>
      </c>
      <c r="H271" s="336"/>
      <c r="I271" s="336"/>
      <c r="J271" s="335"/>
      <c r="K271" s="342"/>
      <c r="L271" s="342"/>
      <c r="M271" s="336"/>
      <c r="N271" s="336"/>
      <c r="O271" s="336"/>
      <c r="P271" s="336"/>
      <c r="Q271" s="342"/>
      <c r="R271" s="345"/>
      <c r="S271" s="345"/>
    </row>
    <row r="272" spans="1:19" ht="14.25">
      <c r="A272" s="337" t="s">
        <v>1149</v>
      </c>
      <c r="B272" s="332">
        <v>959</v>
      </c>
      <c r="C272" s="332">
        <v>48</v>
      </c>
      <c r="D272" s="333">
        <f t="shared" si="41"/>
        <v>1897.9166666666667</v>
      </c>
      <c r="E272" s="329"/>
      <c r="F272" s="329"/>
      <c r="G272" s="335"/>
      <c r="H272" s="336"/>
      <c r="I272" s="336">
        <v>200</v>
      </c>
      <c r="J272" s="335">
        <f aca="true" t="shared" si="43" ref="J272:J275">H272/I272*100-100</f>
        <v>-100</v>
      </c>
      <c r="K272" s="342"/>
      <c r="L272" s="342"/>
      <c r="M272" s="336"/>
      <c r="N272" s="336"/>
      <c r="O272" s="336"/>
      <c r="P272" s="336"/>
      <c r="Q272" s="342">
        <v>48</v>
      </c>
      <c r="R272" s="345">
        <v>54</v>
      </c>
      <c r="S272" s="333">
        <f aca="true" t="shared" si="44" ref="S272:S278">Q272/R272*100-100</f>
        <v>-11.111111111111114</v>
      </c>
    </row>
    <row r="273" spans="1:19" ht="14.25">
      <c r="A273" s="337" t="s">
        <v>1150</v>
      </c>
      <c r="B273" s="332">
        <v>1585</v>
      </c>
      <c r="C273" s="332">
        <v>978</v>
      </c>
      <c r="D273" s="333">
        <f t="shared" si="41"/>
        <v>62.06543967280163</v>
      </c>
      <c r="E273" s="329">
        <v>1475</v>
      </c>
      <c r="F273" s="329">
        <v>2383</v>
      </c>
      <c r="G273" s="335">
        <v>-38.10323122114981</v>
      </c>
      <c r="H273" s="336">
        <v>2300</v>
      </c>
      <c r="I273" s="336">
        <v>1400</v>
      </c>
      <c r="J273" s="335">
        <f t="shared" si="43"/>
        <v>64.28571428571428</v>
      </c>
      <c r="K273" s="347">
        <v>647</v>
      </c>
      <c r="L273" s="341">
        <v>563</v>
      </c>
      <c r="M273" s="336"/>
      <c r="N273" s="336"/>
      <c r="O273" s="336"/>
      <c r="P273" s="336"/>
      <c r="Q273" s="342">
        <v>331</v>
      </c>
      <c r="R273" s="345">
        <v>265</v>
      </c>
      <c r="S273" s="333">
        <f t="shared" si="44"/>
        <v>24.905660377358487</v>
      </c>
    </row>
    <row r="274" spans="1:19" ht="14.25">
      <c r="A274" s="337" t="s">
        <v>1151</v>
      </c>
      <c r="B274" s="332">
        <v>249</v>
      </c>
      <c r="C274" s="332">
        <v>7</v>
      </c>
      <c r="D274" s="333">
        <f t="shared" si="41"/>
        <v>3457.142857142857</v>
      </c>
      <c r="E274" s="329">
        <v>875</v>
      </c>
      <c r="F274" s="329">
        <v>18</v>
      </c>
      <c r="G274" s="335">
        <v>4761.111111111111</v>
      </c>
      <c r="H274" s="336">
        <v>1500</v>
      </c>
      <c r="I274" s="336">
        <v>700</v>
      </c>
      <c r="J274" s="335">
        <f t="shared" si="43"/>
        <v>114.28571428571428</v>
      </c>
      <c r="K274" s="342"/>
      <c r="L274" s="342"/>
      <c r="M274" s="336"/>
      <c r="N274" s="336"/>
      <c r="O274" s="336"/>
      <c r="P274" s="336"/>
      <c r="Q274" s="342">
        <v>7</v>
      </c>
      <c r="R274" s="345"/>
      <c r="S274" s="345"/>
    </row>
    <row r="275" spans="1:19" ht="14.25">
      <c r="A275" s="337" t="s">
        <v>1152</v>
      </c>
      <c r="B275" s="332">
        <v>1242</v>
      </c>
      <c r="C275" s="332">
        <v>908</v>
      </c>
      <c r="D275" s="333">
        <f t="shared" si="41"/>
        <v>36.78414096916299</v>
      </c>
      <c r="E275" s="329">
        <v>0</v>
      </c>
      <c r="F275" s="329">
        <v>2208</v>
      </c>
      <c r="G275" s="335">
        <v>-100</v>
      </c>
      <c r="H275" s="336">
        <v>800</v>
      </c>
      <c r="I275" s="336">
        <v>700</v>
      </c>
      <c r="J275" s="335">
        <f t="shared" si="43"/>
        <v>14.285714285714278</v>
      </c>
      <c r="K275" s="347">
        <v>647</v>
      </c>
      <c r="L275" s="341">
        <v>563</v>
      </c>
      <c r="M275" s="336"/>
      <c r="N275" s="336"/>
      <c r="O275" s="336"/>
      <c r="P275" s="336"/>
      <c r="Q275" s="342">
        <v>261</v>
      </c>
      <c r="R275" s="345">
        <v>220</v>
      </c>
      <c r="S275" s="333">
        <f t="shared" si="44"/>
        <v>18.636363636363626</v>
      </c>
    </row>
    <row r="276" spans="1:19" ht="14.25">
      <c r="A276" s="337" t="s">
        <v>1153</v>
      </c>
      <c r="B276" s="332">
        <v>93</v>
      </c>
      <c r="C276" s="332">
        <v>63</v>
      </c>
      <c r="D276" s="333">
        <f t="shared" si="41"/>
        <v>47.61904761904762</v>
      </c>
      <c r="E276" s="329">
        <v>600</v>
      </c>
      <c r="F276" s="329">
        <v>157</v>
      </c>
      <c r="G276" s="335">
        <v>282.1656050955414</v>
      </c>
      <c r="H276" s="336"/>
      <c r="I276" s="336"/>
      <c r="J276" s="335"/>
      <c r="K276" s="342"/>
      <c r="L276" s="342"/>
      <c r="M276" s="336"/>
      <c r="N276" s="336"/>
      <c r="O276" s="336"/>
      <c r="P276" s="336"/>
      <c r="Q276" s="342">
        <v>63</v>
      </c>
      <c r="R276" s="345">
        <v>45</v>
      </c>
      <c r="S276" s="333">
        <f t="shared" si="44"/>
        <v>40</v>
      </c>
    </row>
    <row r="277" spans="1:19" ht="14.25">
      <c r="A277" s="337" t="s">
        <v>1154</v>
      </c>
      <c r="B277" s="332">
        <v>550</v>
      </c>
      <c r="C277" s="332">
        <v>432</v>
      </c>
      <c r="D277" s="333">
        <f t="shared" si="41"/>
        <v>27.31481481481481</v>
      </c>
      <c r="E277" s="329">
        <v>1082</v>
      </c>
      <c r="F277" s="329">
        <v>1686</v>
      </c>
      <c r="G277" s="335">
        <v>-35.82443653618031</v>
      </c>
      <c r="H277" s="336">
        <v>1600</v>
      </c>
      <c r="I277" s="336">
        <v>1180</v>
      </c>
      <c r="J277" s="335">
        <f aca="true" t="shared" si="45" ref="J277:J281">H277/I277*100-100</f>
        <v>35.59322033898303</v>
      </c>
      <c r="K277" s="347">
        <v>76</v>
      </c>
      <c r="L277" s="341">
        <v>66</v>
      </c>
      <c r="M277" s="336"/>
      <c r="N277" s="336"/>
      <c r="O277" s="336"/>
      <c r="P277" s="336"/>
      <c r="Q277" s="342">
        <v>356</v>
      </c>
      <c r="R277" s="345">
        <v>184</v>
      </c>
      <c r="S277" s="333">
        <f t="shared" si="44"/>
        <v>93.47826086956522</v>
      </c>
    </row>
    <row r="278" spans="1:19" ht="14.25">
      <c r="A278" s="337" t="s">
        <v>1155</v>
      </c>
      <c r="B278" s="332">
        <v>102</v>
      </c>
      <c r="C278" s="332">
        <v>80</v>
      </c>
      <c r="D278" s="333">
        <f t="shared" si="41"/>
        <v>27.499999999999986</v>
      </c>
      <c r="E278" s="329">
        <v>5</v>
      </c>
      <c r="F278" s="329">
        <v>1686</v>
      </c>
      <c r="G278" s="335">
        <v>-99.70344009489916</v>
      </c>
      <c r="H278" s="336">
        <v>150</v>
      </c>
      <c r="I278" s="336">
        <v>210</v>
      </c>
      <c r="J278" s="335">
        <f t="shared" si="45"/>
        <v>-28.57142857142857</v>
      </c>
      <c r="K278" s="342"/>
      <c r="L278" s="342"/>
      <c r="M278" s="336"/>
      <c r="N278" s="336"/>
      <c r="O278" s="336"/>
      <c r="P278" s="336"/>
      <c r="Q278" s="342">
        <v>80</v>
      </c>
      <c r="R278" s="345">
        <v>45</v>
      </c>
      <c r="S278" s="333">
        <f t="shared" si="44"/>
        <v>77.77777777777777</v>
      </c>
    </row>
    <row r="279" spans="1:19" ht="14.25">
      <c r="A279" s="337" t="s">
        <v>1156</v>
      </c>
      <c r="B279" s="332">
        <v>0</v>
      </c>
      <c r="C279" s="332">
        <v>0</v>
      </c>
      <c r="D279" s="333"/>
      <c r="E279" s="329"/>
      <c r="F279" s="329"/>
      <c r="G279" s="335"/>
      <c r="H279" s="336">
        <v>10</v>
      </c>
      <c r="I279" s="336">
        <v>10</v>
      </c>
      <c r="J279" s="335">
        <f t="shared" si="45"/>
        <v>0</v>
      </c>
      <c r="K279" s="342"/>
      <c r="L279" s="342"/>
      <c r="M279" s="336"/>
      <c r="N279" s="336"/>
      <c r="O279" s="336"/>
      <c r="P279" s="336"/>
      <c r="Q279" s="342"/>
      <c r="R279" s="345"/>
      <c r="S279" s="345"/>
    </row>
    <row r="280" spans="1:19" ht="14.25">
      <c r="A280" s="337" t="s">
        <v>1157</v>
      </c>
      <c r="B280" s="332">
        <v>15</v>
      </c>
      <c r="C280" s="332">
        <v>0</v>
      </c>
      <c r="D280" s="333"/>
      <c r="E280" s="329"/>
      <c r="F280" s="329"/>
      <c r="G280" s="335"/>
      <c r="H280" s="336">
        <v>10</v>
      </c>
      <c r="I280" s="336">
        <v>10</v>
      </c>
      <c r="J280" s="335">
        <f t="shared" si="45"/>
        <v>0</v>
      </c>
      <c r="K280" s="342"/>
      <c r="L280" s="342"/>
      <c r="M280" s="336"/>
      <c r="N280" s="336"/>
      <c r="O280" s="336"/>
      <c r="P280" s="336"/>
      <c r="Q280" s="342"/>
      <c r="R280" s="345"/>
      <c r="S280" s="345"/>
    </row>
    <row r="281" spans="1:19" ht="14.25">
      <c r="A281" s="337" t="s">
        <v>1158</v>
      </c>
      <c r="B281" s="332">
        <v>220</v>
      </c>
      <c r="C281" s="332">
        <v>292</v>
      </c>
      <c r="D281" s="333">
        <f t="shared" si="41"/>
        <v>-24.657534246575338</v>
      </c>
      <c r="E281" s="329">
        <v>680</v>
      </c>
      <c r="F281" s="329">
        <v>1367</v>
      </c>
      <c r="G281" s="335">
        <v>-50.25603511338698</v>
      </c>
      <c r="H281" s="336">
        <v>1200</v>
      </c>
      <c r="I281" s="336">
        <v>500</v>
      </c>
      <c r="J281" s="335">
        <f t="shared" si="45"/>
        <v>140</v>
      </c>
      <c r="K281" s="347">
        <v>76</v>
      </c>
      <c r="L281" s="341">
        <v>66</v>
      </c>
      <c r="M281" s="336"/>
      <c r="N281" s="336"/>
      <c r="O281" s="336"/>
      <c r="P281" s="336"/>
      <c r="Q281" s="342">
        <v>216</v>
      </c>
      <c r="R281" s="345">
        <v>104</v>
      </c>
      <c r="S281" s="333">
        <f aca="true" t="shared" si="46" ref="S281:S286">Q281/R281*100-100</f>
        <v>107.69230769230771</v>
      </c>
    </row>
    <row r="282" spans="1:19" ht="14.25">
      <c r="A282" s="337" t="s">
        <v>1159</v>
      </c>
      <c r="B282" s="332">
        <v>0</v>
      </c>
      <c r="C282" s="332">
        <v>0</v>
      </c>
      <c r="D282" s="333"/>
      <c r="E282" s="329">
        <v>280</v>
      </c>
      <c r="F282" s="329">
        <v>278</v>
      </c>
      <c r="G282" s="335">
        <v>0.7194244604316548</v>
      </c>
      <c r="H282" s="336">
        <v>30</v>
      </c>
      <c r="I282" s="336"/>
      <c r="J282" s="335"/>
      <c r="K282" s="342"/>
      <c r="L282" s="342"/>
      <c r="M282" s="336"/>
      <c r="N282" s="336"/>
      <c r="O282" s="336"/>
      <c r="P282" s="336"/>
      <c r="Q282" s="342"/>
      <c r="R282" s="345"/>
      <c r="S282" s="345"/>
    </row>
    <row r="283" spans="1:19" ht="14.25">
      <c r="A283" s="337" t="s">
        <v>1160</v>
      </c>
      <c r="B283" s="332">
        <v>0</v>
      </c>
      <c r="C283" s="332">
        <v>0</v>
      </c>
      <c r="D283" s="333"/>
      <c r="E283" s="329">
        <v>50</v>
      </c>
      <c r="F283" s="329">
        <v>1</v>
      </c>
      <c r="G283" s="335">
        <v>4900</v>
      </c>
      <c r="H283" s="336"/>
      <c r="I283" s="336">
        <v>50</v>
      </c>
      <c r="J283" s="335">
        <f aca="true" t="shared" si="47" ref="J283:J285">H283/I283*100-100</f>
        <v>-100</v>
      </c>
      <c r="K283" s="342"/>
      <c r="L283" s="342"/>
      <c r="M283" s="336"/>
      <c r="N283" s="336"/>
      <c r="O283" s="336"/>
      <c r="P283" s="336"/>
      <c r="Q283" s="342"/>
      <c r="R283" s="345"/>
      <c r="S283" s="345"/>
    </row>
    <row r="284" spans="1:19" ht="14.25">
      <c r="A284" s="337" t="s">
        <v>1161</v>
      </c>
      <c r="B284" s="332">
        <v>213</v>
      </c>
      <c r="C284" s="332">
        <v>60</v>
      </c>
      <c r="D284" s="333">
        <f t="shared" si="41"/>
        <v>255</v>
      </c>
      <c r="E284" s="329">
        <v>67</v>
      </c>
      <c r="F284" s="329">
        <v>40</v>
      </c>
      <c r="G284" s="335">
        <v>67.5</v>
      </c>
      <c r="H284" s="336">
        <v>200</v>
      </c>
      <c r="I284" s="336">
        <v>400</v>
      </c>
      <c r="J284" s="335">
        <f t="shared" si="47"/>
        <v>-50</v>
      </c>
      <c r="K284" s="342"/>
      <c r="L284" s="342"/>
      <c r="M284" s="336"/>
      <c r="N284" s="336"/>
      <c r="O284" s="336"/>
      <c r="P284" s="336"/>
      <c r="Q284" s="342">
        <v>60</v>
      </c>
      <c r="R284" s="345">
        <v>35</v>
      </c>
      <c r="S284" s="333">
        <f t="shared" si="46"/>
        <v>71.42857142857142</v>
      </c>
    </row>
    <row r="285" spans="1:19" ht="14.25">
      <c r="A285" s="337" t="s">
        <v>1162</v>
      </c>
      <c r="B285" s="332">
        <v>633</v>
      </c>
      <c r="C285" s="332">
        <v>1046</v>
      </c>
      <c r="D285" s="333">
        <f t="shared" si="41"/>
        <v>-39.48374760994264</v>
      </c>
      <c r="E285" s="329">
        <v>2360</v>
      </c>
      <c r="F285" s="329">
        <v>1863</v>
      </c>
      <c r="G285" s="335">
        <v>26.67740203972088</v>
      </c>
      <c r="H285" s="336">
        <v>3100</v>
      </c>
      <c r="I285" s="336">
        <v>2800</v>
      </c>
      <c r="J285" s="335">
        <f t="shared" si="47"/>
        <v>10.714285714285722</v>
      </c>
      <c r="K285" s="347">
        <v>105</v>
      </c>
      <c r="L285" s="341">
        <v>91</v>
      </c>
      <c r="M285" s="336"/>
      <c r="N285" s="336"/>
      <c r="O285" s="336"/>
      <c r="P285" s="336"/>
      <c r="Q285" s="342">
        <v>941</v>
      </c>
      <c r="R285" s="345">
        <v>541</v>
      </c>
      <c r="S285" s="333">
        <f t="shared" si="46"/>
        <v>73.93715341959336</v>
      </c>
    </row>
    <row r="286" spans="1:19" ht="14.25">
      <c r="A286" s="337" t="s">
        <v>1163</v>
      </c>
      <c r="B286" s="332">
        <v>0</v>
      </c>
      <c r="C286" s="332">
        <v>120</v>
      </c>
      <c r="D286" s="333">
        <f t="shared" si="41"/>
        <v>-100</v>
      </c>
      <c r="E286" s="329">
        <v>0</v>
      </c>
      <c r="F286" s="329">
        <v>6</v>
      </c>
      <c r="G286" s="335">
        <v>-100</v>
      </c>
      <c r="H286" s="336"/>
      <c r="I286" s="336"/>
      <c r="J286" s="335"/>
      <c r="K286" s="342"/>
      <c r="L286" s="342"/>
      <c r="M286" s="336"/>
      <c r="N286" s="336"/>
      <c r="O286" s="336"/>
      <c r="P286" s="336"/>
      <c r="Q286" s="342">
        <v>120</v>
      </c>
      <c r="R286" s="345">
        <v>160</v>
      </c>
      <c r="S286" s="333">
        <f t="shared" si="46"/>
        <v>-25</v>
      </c>
    </row>
    <row r="287" spans="1:19" ht="14.25">
      <c r="A287" s="337" t="s">
        <v>1164</v>
      </c>
      <c r="B287" s="332">
        <v>0</v>
      </c>
      <c r="C287" s="332">
        <v>0</v>
      </c>
      <c r="D287" s="333"/>
      <c r="E287" s="329">
        <v>0</v>
      </c>
      <c r="F287" s="329">
        <v>31</v>
      </c>
      <c r="G287" s="335">
        <v>-100</v>
      </c>
      <c r="H287" s="336"/>
      <c r="I287" s="336"/>
      <c r="J287" s="335"/>
      <c r="K287" s="342"/>
      <c r="L287" s="342"/>
      <c r="M287" s="336"/>
      <c r="N287" s="336"/>
      <c r="O287" s="336"/>
      <c r="P287" s="336"/>
      <c r="Q287" s="342"/>
      <c r="R287" s="345"/>
      <c r="S287" s="345"/>
    </row>
    <row r="288" spans="1:19" ht="14.25">
      <c r="A288" s="337" t="s">
        <v>1165</v>
      </c>
      <c r="B288" s="332">
        <v>0</v>
      </c>
      <c r="C288" s="332">
        <v>5</v>
      </c>
      <c r="D288" s="333">
        <f t="shared" si="41"/>
        <v>-100</v>
      </c>
      <c r="E288" s="329">
        <v>9</v>
      </c>
      <c r="F288" s="329">
        <v>9</v>
      </c>
      <c r="G288" s="335">
        <v>0</v>
      </c>
      <c r="H288" s="336"/>
      <c r="I288" s="336"/>
      <c r="J288" s="335"/>
      <c r="K288" s="342"/>
      <c r="L288" s="342"/>
      <c r="M288" s="336"/>
      <c r="N288" s="336"/>
      <c r="O288" s="336"/>
      <c r="P288" s="336"/>
      <c r="Q288" s="342">
        <v>5</v>
      </c>
      <c r="R288" s="345"/>
      <c r="S288" s="345"/>
    </row>
    <row r="289" spans="1:19" ht="14.25">
      <c r="A289" s="337" t="s">
        <v>1166</v>
      </c>
      <c r="B289" s="332">
        <v>0</v>
      </c>
      <c r="C289" s="332">
        <v>292</v>
      </c>
      <c r="D289" s="333">
        <f t="shared" si="41"/>
        <v>-100</v>
      </c>
      <c r="E289" s="329">
        <v>1450</v>
      </c>
      <c r="F289" s="329">
        <v>947</v>
      </c>
      <c r="G289" s="335">
        <v>53.115100316789864</v>
      </c>
      <c r="H289" s="336"/>
      <c r="I289" s="336"/>
      <c r="J289" s="335"/>
      <c r="K289" s="342"/>
      <c r="L289" s="342"/>
      <c r="M289" s="336"/>
      <c r="N289" s="336"/>
      <c r="O289" s="336"/>
      <c r="P289" s="336"/>
      <c r="Q289" s="342">
        <v>292</v>
      </c>
      <c r="R289" s="345">
        <v>242</v>
      </c>
      <c r="S289" s="333">
        <f aca="true" t="shared" si="48" ref="S289:S297">Q289/R289*100-100</f>
        <v>20.661157024793383</v>
      </c>
    </row>
    <row r="290" spans="1:19" ht="14.25">
      <c r="A290" s="337" t="s">
        <v>1167</v>
      </c>
      <c r="B290" s="332">
        <v>618</v>
      </c>
      <c r="C290" s="332">
        <v>537</v>
      </c>
      <c r="D290" s="333">
        <f t="shared" si="41"/>
        <v>15.083798882681563</v>
      </c>
      <c r="E290" s="329">
        <v>650</v>
      </c>
      <c r="F290" s="329">
        <v>625</v>
      </c>
      <c r="G290" s="335">
        <v>4</v>
      </c>
      <c r="H290" s="336">
        <v>2800</v>
      </c>
      <c r="I290" s="336">
        <v>2000</v>
      </c>
      <c r="J290" s="335">
        <f aca="true" t="shared" si="49" ref="J290:J294">H290/I290*100-100</f>
        <v>40</v>
      </c>
      <c r="K290" s="347">
        <v>105</v>
      </c>
      <c r="L290" s="341">
        <v>91</v>
      </c>
      <c r="M290" s="336"/>
      <c r="N290" s="336"/>
      <c r="O290" s="336"/>
      <c r="P290" s="336"/>
      <c r="Q290" s="342">
        <v>432</v>
      </c>
      <c r="R290" s="345">
        <v>139</v>
      </c>
      <c r="S290" s="333">
        <f t="shared" si="48"/>
        <v>210.79136690647482</v>
      </c>
    </row>
    <row r="291" spans="1:19" ht="14.25">
      <c r="A291" s="337" t="s">
        <v>1168</v>
      </c>
      <c r="B291" s="332">
        <v>15</v>
      </c>
      <c r="C291" s="332">
        <v>65</v>
      </c>
      <c r="D291" s="333">
        <f t="shared" si="41"/>
        <v>-76.92307692307692</v>
      </c>
      <c r="E291" s="329">
        <v>251</v>
      </c>
      <c r="F291" s="329">
        <v>251</v>
      </c>
      <c r="G291" s="335">
        <v>0</v>
      </c>
      <c r="H291" s="336">
        <v>300</v>
      </c>
      <c r="I291" s="336">
        <v>800</v>
      </c>
      <c r="J291" s="335">
        <f t="shared" si="49"/>
        <v>-62.5</v>
      </c>
      <c r="K291" s="342"/>
      <c r="L291" s="342"/>
      <c r="M291" s="336"/>
      <c r="N291" s="336"/>
      <c r="O291" s="336"/>
      <c r="P291" s="336"/>
      <c r="Q291" s="342">
        <v>65</v>
      </c>
      <c r="R291" s="345"/>
      <c r="S291" s="345"/>
    </row>
    <row r="292" spans="1:19" ht="14.25">
      <c r="A292" s="337" t="s">
        <v>1169</v>
      </c>
      <c r="B292" s="332">
        <v>0</v>
      </c>
      <c r="C292" s="332">
        <v>27</v>
      </c>
      <c r="D292" s="333">
        <f t="shared" si="41"/>
        <v>-100</v>
      </c>
      <c r="E292" s="329" t="s">
        <v>1170</v>
      </c>
      <c r="F292" s="329" t="s">
        <v>1170</v>
      </c>
      <c r="G292" s="335"/>
      <c r="H292" s="336"/>
      <c r="I292" s="336"/>
      <c r="J292" s="335"/>
      <c r="K292" s="342"/>
      <c r="L292" s="342"/>
      <c r="M292" s="336"/>
      <c r="N292" s="336"/>
      <c r="O292" s="336"/>
      <c r="P292" s="336"/>
      <c r="Q292" s="342">
        <v>27</v>
      </c>
      <c r="R292" s="345"/>
      <c r="S292" s="345"/>
    </row>
    <row r="293" spans="1:19" ht="14.25">
      <c r="A293" s="337" t="s">
        <v>1171</v>
      </c>
      <c r="B293" s="332">
        <v>889</v>
      </c>
      <c r="C293" s="332">
        <v>839</v>
      </c>
      <c r="D293" s="333">
        <f t="shared" si="41"/>
        <v>5.959475566150175</v>
      </c>
      <c r="E293" s="329">
        <v>200</v>
      </c>
      <c r="F293" s="329">
        <v>3687</v>
      </c>
      <c r="G293" s="335">
        <v>-94.575535665853</v>
      </c>
      <c r="H293" s="336">
        <v>700</v>
      </c>
      <c r="I293" s="336">
        <v>600</v>
      </c>
      <c r="J293" s="335">
        <f t="shared" si="49"/>
        <v>16.66666666666667</v>
      </c>
      <c r="K293" s="347">
        <v>115</v>
      </c>
      <c r="L293" s="341">
        <v>100</v>
      </c>
      <c r="M293" s="336"/>
      <c r="N293" s="336"/>
      <c r="O293" s="336"/>
      <c r="P293" s="336"/>
      <c r="Q293" s="342">
        <v>724</v>
      </c>
      <c r="R293" s="345">
        <v>461</v>
      </c>
      <c r="S293" s="333">
        <f t="shared" si="48"/>
        <v>57.04989154013015</v>
      </c>
    </row>
    <row r="294" spans="1:19" ht="14.25">
      <c r="A294" s="337" t="s">
        <v>1172</v>
      </c>
      <c r="B294" s="332">
        <v>0</v>
      </c>
      <c r="C294" s="332">
        <v>0</v>
      </c>
      <c r="D294" s="333"/>
      <c r="E294" s="329"/>
      <c r="F294" s="329"/>
      <c r="G294" s="335"/>
      <c r="H294" s="336"/>
      <c r="I294" s="336">
        <v>100</v>
      </c>
      <c r="J294" s="335">
        <f t="shared" si="49"/>
        <v>-100</v>
      </c>
      <c r="K294" s="342"/>
      <c r="L294" s="342"/>
      <c r="M294" s="336"/>
      <c r="N294" s="336"/>
      <c r="O294" s="336"/>
      <c r="P294" s="336"/>
      <c r="Q294" s="342"/>
      <c r="R294" s="345">
        <v>167</v>
      </c>
      <c r="S294" s="333">
        <f t="shared" si="48"/>
        <v>-100</v>
      </c>
    </row>
    <row r="295" spans="1:19" ht="14.25">
      <c r="A295" s="337" t="s">
        <v>1173</v>
      </c>
      <c r="B295" s="332">
        <v>0</v>
      </c>
      <c r="C295" s="332">
        <v>0</v>
      </c>
      <c r="D295" s="333"/>
      <c r="E295" s="329">
        <v>0</v>
      </c>
      <c r="F295" s="329">
        <v>136</v>
      </c>
      <c r="G295" s="335">
        <v>-100</v>
      </c>
      <c r="H295" s="336"/>
      <c r="I295" s="336"/>
      <c r="J295" s="335"/>
      <c r="K295" s="342"/>
      <c r="L295" s="342"/>
      <c r="M295" s="336"/>
      <c r="N295" s="336"/>
      <c r="O295" s="336"/>
      <c r="P295" s="336"/>
      <c r="Q295" s="342"/>
      <c r="R295" s="345">
        <v>226</v>
      </c>
      <c r="S295" s="333">
        <f t="shared" si="48"/>
        <v>-100</v>
      </c>
    </row>
    <row r="296" spans="1:19" ht="14.25">
      <c r="A296" s="337" t="s">
        <v>1174</v>
      </c>
      <c r="B296" s="332">
        <v>73</v>
      </c>
      <c r="C296" s="332">
        <v>839</v>
      </c>
      <c r="D296" s="333">
        <f t="shared" si="41"/>
        <v>-91.29916567342073</v>
      </c>
      <c r="E296" s="329">
        <v>200</v>
      </c>
      <c r="F296" s="329">
        <v>3551</v>
      </c>
      <c r="G296" s="335">
        <v>-94.36778372289496</v>
      </c>
      <c r="H296" s="336">
        <v>700</v>
      </c>
      <c r="I296" s="336">
        <v>500</v>
      </c>
      <c r="J296" s="335">
        <f aca="true" t="shared" si="50" ref="J296:J299">H296/I296*100-100</f>
        <v>40</v>
      </c>
      <c r="K296" s="347">
        <v>115</v>
      </c>
      <c r="L296" s="341">
        <v>100</v>
      </c>
      <c r="M296" s="336"/>
      <c r="N296" s="336"/>
      <c r="O296" s="336"/>
      <c r="P296" s="336"/>
      <c r="Q296" s="342">
        <v>724</v>
      </c>
      <c r="R296" s="345">
        <v>68</v>
      </c>
      <c r="S296" s="333">
        <f t="shared" si="48"/>
        <v>964.7058823529412</v>
      </c>
    </row>
    <row r="297" spans="1:19" ht="14.25">
      <c r="A297" s="337" t="s">
        <v>1175</v>
      </c>
      <c r="B297" s="332">
        <v>97</v>
      </c>
      <c r="C297" s="332">
        <v>60</v>
      </c>
      <c r="D297" s="333">
        <f t="shared" si="41"/>
        <v>61.66666666666666</v>
      </c>
      <c r="E297" s="329">
        <v>15</v>
      </c>
      <c r="F297" s="329">
        <v>15</v>
      </c>
      <c r="G297" s="335">
        <v>0</v>
      </c>
      <c r="H297" s="336">
        <v>30</v>
      </c>
      <c r="I297" s="336">
        <v>30</v>
      </c>
      <c r="J297" s="335">
        <f t="shared" si="50"/>
        <v>0</v>
      </c>
      <c r="K297" s="342"/>
      <c r="L297" s="342"/>
      <c r="M297" s="336"/>
      <c r="N297" s="336"/>
      <c r="O297" s="336"/>
      <c r="P297" s="336"/>
      <c r="Q297" s="342">
        <v>60</v>
      </c>
      <c r="R297" s="345">
        <v>7</v>
      </c>
      <c r="S297" s="333">
        <f t="shared" si="48"/>
        <v>757.1428571428571</v>
      </c>
    </row>
    <row r="298" spans="1:19" ht="14.25">
      <c r="A298" s="337" t="s">
        <v>1176</v>
      </c>
      <c r="B298" s="332">
        <v>15</v>
      </c>
      <c r="C298" s="332">
        <v>5</v>
      </c>
      <c r="D298" s="333">
        <f t="shared" si="41"/>
        <v>200</v>
      </c>
      <c r="E298" s="329"/>
      <c r="F298" s="329"/>
      <c r="G298" s="335"/>
      <c r="H298" s="336"/>
      <c r="I298" s="336"/>
      <c r="J298" s="335"/>
      <c r="K298" s="342"/>
      <c r="L298" s="342"/>
      <c r="M298" s="336"/>
      <c r="N298" s="336"/>
      <c r="O298" s="336"/>
      <c r="P298" s="336"/>
      <c r="Q298" s="342">
        <v>5</v>
      </c>
      <c r="R298" s="345"/>
      <c r="S298" s="345"/>
    </row>
    <row r="299" spans="1:19" ht="14.25">
      <c r="A299" s="337" t="s">
        <v>1177</v>
      </c>
      <c r="B299" s="332">
        <v>57</v>
      </c>
      <c r="C299" s="332">
        <v>45</v>
      </c>
      <c r="D299" s="333">
        <f t="shared" si="41"/>
        <v>26.666666666666657</v>
      </c>
      <c r="E299" s="329"/>
      <c r="F299" s="329"/>
      <c r="G299" s="335"/>
      <c r="H299" s="336">
        <v>30</v>
      </c>
      <c r="I299" s="336">
        <v>30</v>
      </c>
      <c r="J299" s="335">
        <f t="shared" si="50"/>
        <v>0</v>
      </c>
      <c r="K299" s="342"/>
      <c r="L299" s="342"/>
      <c r="M299" s="336"/>
      <c r="N299" s="336"/>
      <c r="O299" s="336"/>
      <c r="P299" s="336"/>
      <c r="Q299" s="342">
        <v>45</v>
      </c>
      <c r="R299" s="345"/>
      <c r="S299" s="345"/>
    </row>
    <row r="300" spans="1:19" ht="14.25">
      <c r="A300" s="337" t="s">
        <v>1178</v>
      </c>
      <c r="B300" s="332">
        <v>25</v>
      </c>
      <c r="C300" s="332">
        <v>10</v>
      </c>
      <c r="D300" s="333">
        <f t="shared" si="41"/>
        <v>150</v>
      </c>
      <c r="E300" s="329">
        <v>59</v>
      </c>
      <c r="F300" s="329">
        <v>15</v>
      </c>
      <c r="G300" s="335">
        <v>293.3333333333333</v>
      </c>
      <c r="H300" s="336"/>
      <c r="I300" s="336"/>
      <c r="J300" s="335"/>
      <c r="K300" s="342"/>
      <c r="L300" s="342"/>
      <c r="M300" s="336"/>
      <c r="N300" s="336"/>
      <c r="O300" s="336"/>
      <c r="P300" s="336"/>
      <c r="Q300" s="342">
        <v>10</v>
      </c>
      <c r="R300" s="345">
        <v>7</v>
      </c>
      <c r="S300" s="333">
        <f>Q300/R300*100-100</f>
        <v>42.85714285714286</v>
      </c>
    </row>
    <row r="301" spans="1:19" ht="14.25">
      <c r="A301" s="337" t="s">
        <v>1179</v>
      </c>
      <c r="B301" s="332">
        <v>27</v>
      </c>
      <c r="C301" s="332"/>
      <c r="D301" s="333"/>
      <c r="E301" s="329"/>
      <c r="F301" s="329"/>
      <c r="G301" s="335"/>
      <c r="H301" s="336"/>
      <c r="I301" s="336"/>
      <c r="J301" s="335"/>
      <c r="K301" s="342"/>
      <c r="L301" s="342"/>
      <c r="M301" s="336"/>
      <c r="N301" s="336"/>
      <c r="O301" s="336"/>
      <c r="P301" s="336"/>
      <c r="Q301" s="342"/>
      <c r="R301" s="345"/>
      <c r="S301" s="333"/>
    </row>
    <row r="302" spans="1:19" ht="14.25">
      <c r="A302" s="337" t="s">
        <v>1163</v>
      </c>
      <c r="B302" s="332">
        <v>27</v>
      </c>
      <c r="C302" s="332"/>
      <c r="D302" s="333"/>
      <c r="E302" s="329"/>
      <c r="F302" s="329"/>
      <c r="G302" s="335"/>
      <c r="H302" s="336"/>
      <c r="I302" s="336"/>
      <c r="J302" s="335"/>
      <c r="K302" s="342"/>
      <c r="L302" s="342"/>
      <c r="M302" s="336"/>
      <c r="N302" s="336"/>
      <c r="O302" s="336"/>
      <c r="P302" s="336"/>
      <c r="Q302" s="342"/>
      <c r="R302" s="345"/>
      <c r="S302" s="333"/>
    </row>
    <row r="303" spans="1:19" ht="14.25">
      <c r="A303" s="337" t="s">
        <v>1180</v>
      </c>
      <c r="B303" s="332">
        <v>7</v>
      </c>
      <c r="C303" s="332"/>
      <c r="D303" s="333"/>
      <c r="E303" s="329"/>
      <c r="F303" s="329"/>
      <c r="G303" s="335"/>
      <c r="H303" s="336"/>
      <c r="I303" s="336"/>
      <c r="J303" s="335"/>
      <c r="K303" s="342"/>
      <c r="L303" s="342"/>
      <c r="M303" s="336"/>
      <c r="N303" s="336"/>
      <c r="O303" s="336"/>
      <c r="P303" s="336"/>
      <c r="Q303" s="342"/>
      <c r="R303" s="345"/>
      <c r="S303" s="333"/>
    </row>
    <row r="304" spans="1:19" ht="14.25">
      <c r="A304" s="337" t="s">
        <v>1181</v>
      </c>
      <c r="B304" s="332">
        <v>7</v>
      </c>
      <c r="C304" s="332"/>
      <c r="D304" s="333"/>
      <c r="E304" s="329"/>
      <c r="F304" s="329"/>
      <c r="G304" s="335"/>
      <c r="H304" s="336"/>
      <c r="I304" s="336"/>
      <c r="J304" s="335"/>
      <c r="K304" s="342"/>
      <c r="L304" s="342"/>
      <c r="M304" s="336"/>
      <c r="N304" s="336"/>
      <c r="O304" s="336"/>
      <c r="P304" s="336"/>
      <c r="Q304" s="342"/>
      <c r="R304" s="345"/>
      <c r="S304" s="333"/>
    </row>
    <row r="305" spans="1:19" ht="14.25">
      <c r="A305" s="337" t="s">
        <v>1182</v>
      </c>
      <c r="B305" s="332">
        <v>0</v>
      </c>
      <c r="C305" s="332">
        <v>0</v>
      </c>
      <c r="D305" s="333"/>
      <c r="E305" s="329">
        <v>11</v>
      </c>
      <c r="F305" s="329">
        <v>11</v>
      </c>
      <c r="G305" s="335">
        <v>0</v>
      </c>
      <c r="H305" s="336"/>
      <c r="I305" s="336"/>
      <c r="J305" s="335"/>
      <c r="K305" s="342"/>
      <c r="L305" s="342"/>
      <c r="M305" s="336"/>
      <c r="N305" s="336"/>
      <c r="O305" s="336"/>
      <c r="P305" s="336"/>
      <c r="Q305" s="342"/>
      <c r="R305" s="345"/>
      <c r="S305" s="345"/>
    </row>
    <row r="306" spans="1:19" ht="14.25">
      <c r="A306" s="337" t="s">
        <v>1183</v>
      </c>
      <c r="B306" s="332">
        <v>0</v>
      </c>
      <c r="C306" s="332">
        <v>0</v>
      </c>
      <c r="D306" s="333"/>
      <c r="E306" s="329">
        <v>20</v>
      </c>
      <c r="F306" s="329">
        <v>11</v>
      </c>
      <c r="G306" s="335">
        <v>81.81818181818183</v>
      </c>
      <c r="H306" s="336"/>
      <c r="I306" s="336"/>
      <c r="J306" s="335"/>
      <c r="K306" s="342"/>
      <c r="L306" s="342"/>
      <c r="M306" s="336"/>
      <c r="N306" s="336"/>
      <c r="O306" s="336"/>
      <c r="P306" s="336"/>
      <c r="Q306" s="342"/>
      <c r="R306" s="345"/>
      <c r="S306" s="345"/>
    </row>
    <row r="307" spans="1:19" ht="14.25">
      <c r="A307" s="331" t="s">
        <v>1184</v>
      </c>
      <c r="B307" s="332">
        <v>1873</v>
      </c>
      <c r="C307" s="332">
        <v>799</v>
      </c>
      <c r="D307" s="333">
        <f t="shared" si="41"/>
        <v>134.4180225281602</v>
      </c>
      <c r="E307" s="329">
        <v>1637</v>
      </c>
      <c r="F307" s="329">
        <v>1867</v>
      </c>
      <c r="G307" s="335">
        <v>-12.319228709159079</v>
      </c>
      <c r="H307" s="336">
        <v>800</v>
      </c>
      <c r="I307" s="336">
        <v>700</v>
      </c>
      <c r="J307" s="335">
        <f>H307/I307*100-100</f>
        <v>14.285714285714278</v>
      </c>
      <c r="K307" s="347">
        <v>799</v>
      </c>
      <c r="L307" s="341">
        <v>195</v>
      </c>
      <c r="M307" s="336"/>
      <c r="N307" s="336"/>
      <c r="O307" s="336"/>
      <c r="P307" s="336"/>
      <c r="Q307" s="342"/>
      <c r="R307" s="345">
        <v>398</v>
      </c>
      <c r="S307" s="333">
        <f aca="true" t="shared" si="51" ref="S307:S310">Q307/R307*100-100</f>
        <v>-100</v>
      </c>
    </row>
    <row r="308" spans="1:19" ht="14.25">
      <c r="A308" s="337" t="s">
        <v>1185</v>
      </c>
      <c r="B308" s="332">
        <v>1870</v>
      </c>
      <c r="C308" s="332">
        <v>0</v>
      </c>
      <c r="D308" s="333"/>
      <c r="E308" s="329">
        <v>418</v>
      </c>
      <c r="F308" s="329">
        <v>418</v>
      </c>
      <c r="G308" s="335">
        <v>0</v>
      </c>
      <c r="H308" s="336"/>
      <c r="I308" s="336"/>
      <c r="J308" s="335"/>
      <c r="K308" s="342"/>
      <c r="L308" s="342"/>
      <c r="M308" s="336"/>
      <c r="N308" s="336"/>
      <c r="O308" s="336"/>
      <c r="P308" s="336"/>
      <c r="Q308" s="342"/>
      <c r="R308" s="345">
        <v>131</v>
      </c>
      <c r="S308" s="333">
        <f t="shared" si="51"/>
        <v>-100</v>
      </c>
    </row>
    <row r="309" spans="1:19" ht="14.25">
      <c r="A309" s="337" t="s">
        <v>928</v>
      </c>
      <c r="B309" s="332">
        <v>1870</v>
      </c>
      <c r="C309" s="332"/>
      <c r="D309" s="333"/>
      <c r="E309" s="329"/>
      <c r="F309" s="329"/>
      <c r="G309" s="335"/>
      <c r="H309" s="336"/>
      <c r="I309" s="336"/>
      <c r="J309" s="335"/>
      <c r="K309" s="342"/>
      <c r="L309" s="342"/>
      <c r="M309" s="336"/>
      <c r="N309" s="336"/>
      <c r="O309" s="336"/>
      <c r="P309" s="336"/>
      <c r="Q309" s="342"/>
      <c r="R309" s="345"/>
      <c r="S309" s="333"/>
    </row>
    <row r="310" spans="1:19" ht="14.25">
      <c r="A310" s="337" t="s">
        <v>1186</v>
      </c>
      <c r="B310" s="332">
        <v>0</v>
      </c>
      <c r="C310" s="332">
        <v>0</v>
      </c>
      <c r="D310" s="333"/>
      <c r="E310" s="329">
        <v>418</v>
      </c>
      <c r="F310" s="329">
        <v>418</v>
      </c>
      <c r="G310" s="335">
        <v>0</v>
      </c>
      <c r="H310" s="336"/>
      <c r="I310" s="336"/>
      <c r="J310" s="335"/>
      <c r="K310" s="342"/>
      <c r="L310" s="342"/>
      <c r="M310" s="336"/>
      <c r="N310" s="336"/>
      <c r="O310" s="336"/>
      <c r="P310" s="336"/>
      <c r="Q310" s="342"/>
      <c r="R310" s="345">
        <v>131</v>
      </c>
      <c r="S310" s="333">
        <f t="shared" si="51"/>
        <v>-100</v>
      </c>
    </row>
    <row r="311" spans="1:19" ht="14.25">
      <c r="A311" s="337" t="s">
        <v>1187</v>
      </c>
      <c r="B311" s="332">
        <v>0</v>
      </c>
      <c r="C311" s="332">
        <v>0</v>
      </c>
      <c r="D311" s="333"/>
      <c r="E311" s="329">
        <v>1</v>
      </c>
      <c r="F311" s="329">
        <v>1</v>
      </c>
      <c r="G311" s="335">
        <v>0</v>
      </c>
      <c r="H311" s="336"/>
      <c r="I311" s="336"/>
      <c r="J311" s="335"/>
      <c r="K311" s="342"/>
      <c r="L311" s="342"/>
      <c r="M311" s="336"/>
      <c r="N311" s="336"/>
      <c r="O311" s="336"/>
      <c r="P311" s="336"/>
      <c r="Q311" s="342"/>
      <c r="R311" s="345"/>
      <c r="S311" s="345"/>
    </row>
    <row r="312" spans="1:19" ht="14.25">
      <c r="A312" s="337" t="s">
        <v>1188</v>
      </c>
      <c r="B312" s="332">
        <v>0</v>
      </c>
      <c r="C312" s="332">
        <v>0</v>
      </c>
      <c r="D312" s="333"/>
      <c r="E312" s="329">
        <v>10</v>
      </c>
      <c r="F312" s="329">
        <v>1</v>
      </c>
      <c r="G312" s="335">
        <v>900</v>
      </c>
      <c r="H312" s="336"/>
      <c r="I312" s="336"/>
      <c r="J312" s="335"/>
      <c r="K312" s="342"/>
      <c r="L312" s="342"/>
      <c r="M312" s="336"/>
      <c r="N312" s="336"/>
      <c r="O312" s="336"/>
      <c r="P312" s="336"/>
      <c r="Q312" s="342"/>
      <c r="R312" s="345"/>
      <c r="S312" s="345"/>
    </row>
    <row r="313" spans="1:19" ht="14.25">
      <c r="A313" s="337" t="s">
        <v>1189</v>
      </c>
      <c r="B313" s="332">
        <v>0</v>
      </c>
      <c r="C313" s="332">
        <v>667</v>
      </c>
      <c r="D313" s="333">
        <f t="shared" si="41"/>
        <v>-100</v>
      </c>
      <c r="E313" s="329">
        <v>342</v>
      </c>
      <c r="F313" s="329">
        <v>342</v>
      </c>
      <c r="G313" s="335">
        <v>0</v>
      </c>
      <c r="H313" s="336">
        <v>800</v>
      </c>
      <c r="I313" s="336">
        <v>700</v>
      </c>
      <c r="J313" s="335">
        <f>H313/I313*100-100</f>
        <v>14.285714285714278</v>
      </c>
      <c r="K313" s="347">
        <v>667</v>
      </c>
      <c r="L313" s="341">
        <v>80</v>
      </c>
      <c r="M313" s="336"/>
      <c r="N313" s="336"/>
      <c r="O313" s="336"/>
      <c r="P313" s="336"/>
      <c r="Q313" s="342"/>
      <c r="R313" s="345"/>
      <c r="S313" s="345"/>
    </row>
    <row r="314" spans="1:19" ht="14.25">
      <c r="A314" s="337" t="s">
        <v>1190</v>
      </c>
      <c r="B314" s="332">
        <v>0</v>
      </c>
      <c r="C314" s="332">
        <v>0</v>
      </c>
      <c r="D314" s="333"/>
      <c r="E314" s="329"/>
      <c r="F314" s="329"/>
      <c r="G314" s="335"/>
      <c r="H314" s="336">
        <v>800</v>
      </c>
      <c r="I314" s="336">
        <v>700</v>
      </c>
      <c r="J314" s="335">
        <f>H314/I314*100-100</f>
        <v>14.285714285714278</v>
      </c>
      <c r="K314" s="342"/>
      <c r="L314" s="342"/>
      <c r="M314" s="336"/>
      <c r="N314" s="336"/>
      <c r="O314" s="336"/>
      <c r="P314" s="336"/>
      <c r="Q314" s="342"/>
      <c r="R314" s="345"/>
      <c r="S314" s="345"/>
    </row>
    <row r="315" spans="1:19" ht="14.25">
      <c r="A315" s="337" t="s">
        <v>1191</v>
      </c>
      <c r="B315" s="332">
        <v>0</v>
      </c>
      <c r="C315" s="332">
        <v>0</v>
      </c>
      <c r="D315" s="333"/>
      <c r="E315" s="329">
        <v>342</v>
      </c>
      <c r="F315" s="329">
        <v>342</v>
      </c>
      <c r="G315" s="335">
        <v>0</v>
      </c>
      <c r="H315" s="336"/>
      <c r="I315" s="336"/>
      <c r="J315" s="335"/>
      <c r="K315" s="342"/>
      <c r="L315" s="342"/>
      <c r="M315" s="336"/>
      <c r="N315" s="336"/>
      <c r="O315" s="336"/>
      <c r="P315" s="336"/>
      <c r="Q315" s="342"/>
      <c r="R315" s="345"/>
      <c r="S315" s="345"/>
    </row>
    <row r="316" spans="1:19" ht="14.25">
      <c r="A316" s="337" t="s">
        <v>1192</v>
      </c>
      <c r="B316" s="332">
        <v>0</v>
      </c>
      <c r="C316" s="332">
        <v>667</v>
      </c>
      <c r="D316" s="333">
        <f t="shared" si="41"/>
        <v>-100</v>
      </c>
      <c r="E316" s="329"/>
      <c r="F316" s="329"/>
      <c r="G316" s="335"/>
      <c r="H316" s="336"/>
      <c r="I316" s="336"/>
      <c r="J316" s="335"/>
      <c r="K316" s="347">
        <v>667</v>
      </c>
      <c r="L316" s="341">
        <v>80</v>
      </c>
      <c r="M316" s="336"/>
      <c r="N316" s="336"/>
      <c r="O316" s="336"/>
      <c r="P316" s="336"/>
      <c r="Q316" s="342"/>
      <c r="R316" s="345"/>
      <c r="S316" s="345"/>
    </row>
    <row r="317" spans="1:19" ht="14.25">
      <c r="A317" s="337" t="s">
        <v>1193</v>
      </c>
      <c r="B317" s="332">
        <v>0</v>
      </c>
      <c r="C317" s="332">
        <v>92</v>
      </c>
      <c r="D317" s="333">
        <f t="shared" si="41"/>
        <v>-100</v>
      </c>
      <c r="E317" s="329">
        <v>330</v>
      </c>
      <c r="F317" s="329">
        <v>297</v>
      </c>
      <c r="G317" s="335">
        <v>11.11111111111111</v>
      </c>
      <c r="H317" s="336"/>
      <c r="I317" s="336"/>
      <c r="J317" s="335"/>
      <c r="K317" s="347">
        <v>92</v>
      </c>
      <c r="L317" s="341">
        <v>80</v>
      </c>
      <c r="M317" s="336"/>
      <c r="N317" s="336"/>
      <c r="O317" s="336"/>
      <c r="P317" s="336"/>
      <c r="Q317" s="342"/>
      <c r="R317" s="345"/>
      <c r="S317" s="345"/>
    </row>
    <row r="318" spans="1:19" ht="14.25">
      <c r="A318" s="337" t="s">
        <v>1194</v>
      </c>
      <c r="B318" s="332">
        <v>0</v>
      </c>
      <c r="C318" s="332">
        <v>0</v>
      </c>
      <c r="D318" s="333"/>
      <c r="E318" s="329" t="s">
        <v>1170</v>
      </c>
      <c r="F318" s="329" t="s">
        <v>1170</v>
      </c>
      <c r="G318" s="335"/>
      <c r="H318" s="336"/>
      <c r="I318" s="336"/>
      <c r="J318" s="335"/>
      <c r="K318" s="342"/>
      <c r="L318" s="342"/>
      <c r="M318" s="336"/>
      <c r="N318" s="336"/>
      <c r="O318" s="336"/>
      <c r="P318" s="336"/>
      <c r="Q318" s="342"/>
      <c r="R318" s="345"/>
      <c r="S318" s="345"/>
    </row>
    <row r="319" spans="1:19" ht="14.25">
      <c r="A319" s="337" t="s">
        <v>1195</v>
      </c>
      <c r="B319" s="332">
        <v>0</v>
      </c>
      <c r="C319" s="332">
        <v>0</v>
      </c>
      <c r="D319" s="333"/>
      <c r="E319" s="329" t="s">
        <v>1170</v>
      </c>
      <c r="F319" s="329" t="s">
        <v>1170</v>
      </c>
      <c r="G319" s="335"/>
      <c r="H319" s="336"/>
      <c r="I319" s="336"/>
      <c r="J319" s="335"/>
      <c r="K319" s="342"/>
      <c r="L319" s="342"/>
      <c r="M319" s="336"/>
      <c r="N319" s="336"/>
      <c r="O319" s="336"/>
      <c r="P319" s="336"/>
      <c r="Q319" s="342"/>
      <c r="R319" s="345"/>
      <c r="S319" s="345"/>
    </row>
    <row r="320" spans="1:19" ht="14.25">
      <c r="A320" s="337" t="s">
        <v>1196</v>
      </c>
      <c r="B320" s="332">
        <v>0</v>
      </c>
      <c r="C320" s="332">
        <v>0</v>
      </c>
      <c r="D320" s="333"/>
      <c r="E320" s="329">
        <v>29</v>
      </c>
      <c r="F320" s="329">
        <v>29</v>
      </c>
      <c r="G320" s="335">
        <v>0</v>
      </c>
      <c r="H320" s="336"/>
      <c r="I320" s="336"/>
      <c r="J320" s="335"/>
      <c r="K320" s="342"/>
      <c r="L320" s="342"/>
      <c r="M320" s="336"/>
      <c r="N320" s="336"/>
      <c r="O320" s="336"/>
      <c r="P320" s="336"/>
      <c r="Q320" s="342"/>
      <c r="R320" s="345"/>
      <c r="S320" s="345"/>
    </row>
    <row r="321" spans="1:19" ht="14.25">
      <c r="A321" s="337" t="s">
        <v>1197</v>
      </c>
      <c r="B321" s="332">
        <v>0</v>
      </c>
      <c r="C321" s="332">
        <v>0</v>
      </c>
      <c r="D321" s="333"/>
      <c r="E321" s="329">
        <v>500</v>
      </c>
      <c r="F321" s="329">
        <v>764</v>
      </c>
      <c r="G321" s="335">
        <v>-34.55497382198953</v>
      </c>
      <c r="H321" s="336"/>
      <c r="I321" s="336"/>
      <c r="J321" s="335"/>
      <c r="K321" s="342"/>
      <c r="L321" s="342"/>
      <c r="M321" s="336"/>
      <c r="N321" s="336"/>
      <c r="O321" s="336"/>
      <c r="P321" s="336"/>
      <c r="Q321" s="342"/>
      <c r="R321" s="345"/>
      <c r="S321" s="345"/>
    </row>
    <row r="322" spans="1:19" ht="14.25">
      <c r="A322" s="337" t="s">
        <v>1198</v>
      </c>
      <c r="B322" s="332">
        <v>3</v>
      </c>
      <c r="C322" s="332">
        <v>40</v>
      </c>
      <c r="D322" s="333">
        <f t="shared" si="41"/>
        <v>-92.5</v>
      </c>
      <c r="E322" s="329">
        <v>17</v>
      </c>
      <c r="F322" s="329">
        <v>17</v>
      </c>
      <c r="G322" s="335">
        <v>0</v>
      </c>
      <c r="H322" s="336"/>
      <c r="I322" s="336"/>
      <c r="J322" s="335"/>
      <c r="K322" s="347">
        <v>40</v>
      </c>
      <c r="L322" s="341">
        <v>35</v>
      </c>
      <c r="M322" s="336"/>
      <c r="N322" s="336"/>
      <c r="O322" s="336"/>
      <c r="P322" s="336"/>
      <c r="Q322" s="342"/>
      <c r="R322" s="345">
        <v>267</v>
      </c>
      <c r="S322" s="333">
        <f aca="true" t="shared" si="52" ref="S322:S325">Q322/R322*100-100</f>
        <v>-100</v>
      </c>
    </row>
    <row r="323" spans="1:19" ht="14.25">
      <c r="A323" s="331" t="s">
        <v>1199</v>
      </c>
      <c r="B323" s="332">
        <v>45330.3</v>
      </c>
      <c r="C323" s="332">
        <v>72190</v>
      </c>
      <c r="D323" s="333">
        <f t="shared" si="41"/>
        <v>-37.20695387172738</v>
      </c>
      <c r="E323" s="329">
        <v>65903</v>
      </c>
      <c r="F323" s="329">
        <v>50903</v>
      </c>
      <c r="G323" s="335">
        <v>29.467811327426674</v>
      </c>
      <c r="H323" s="336">
        <f>H324+H332+H335+H337</f>
        <v>19535</v>
      </c>
      <c r="I323" s="336">
        <v>15900</v>
      </c>
      <c r="J323" s="335">
        <f>H323/I323*100-100</f>
        <v>22.86163522012579</v>
      </c>
      <c r="K323" s="347">
        <v>2215</v>
      </c>
      <c r="L323" s="341">
        <v>1926</v>
      </c>
      <c r="M323" s="336"/>
      <c r="N323" s="336"/>
      <c r="O323" s="336"/>
      <c r="P323" s="336"/>
      <c r="Q323" s="342">
        <v>69975</v>
      </c>
      <c r="R323" s="345">
        <v>47965</v>
      </c>
      <c r="S323" s="333">
        <f t="shared" si="52"/>
        <v>45.887626394245785</v>
      </c>
    </row>
    <row r="324" spans="1:19" ht="14.25">
      <c r="A324" s="337" t="s">
        <v>1200</v>
      </c>
      <c r="B324" s="332">
        <v>19492.3</v>
      </c>
      <c r="C324" s="332">
        <v>18610</v>
      </c>
      <c r="D324" s="333">
        <f t="shared" si="41"/>
        <v>4.7409994626545</v>
      </c>
      <c r="E324" s="329">
        <v>2814</v>
      </c>
      <c r="F324" s="329">
        <v>2814</v>
      </c>
      <c r="G324" s="335">
        <v>0</v>
      </c>
      <c r="H324" s="336">
        <v>400</v>
      </c>
      <c r="I324" s="336">
        <v>600</v>
      </c>
      <c r="J324" s="335">
        <f>H324/I324*100-100</f>
        <v>-33.33333333333334</v>
      </c>
      <c r="K324" s="347">
        <v>857</v>
      </c>
      <c r="L324" s="341">
        <v>745</v>
      </c>
      <c r="M324" s="336"/>
      <c r="N324" s="336"/>
      <c r="O324" s="336"/>
      <c r="P324" s="336"/>
      <c r="Q324" s="342">
        <v>17753</v>
      </c>
      <c r="R324" s="345">
        <v>8410</v>
      </c>
      <c r="S324" s="333">
        <f t="shared" si="52"/>
        <v>111.09393579072534</v>
      </c>
    </row>
    <row r="325" spans="1:19" ht="14.25">
      <c r="A325" s="337" t="s">
        <v>1201</v>
      </c>
      <c r="B325" s="332">
        <v>524</v>
      </c>
      <c r="C325" s="332">
        <v>533</v>
      </c>
      <c r="D325" s="333">
        <f t="shared" si="41"/>
        <v>-1.6885553470919348</v>
      </c>
      <c r="E325" s="329">
        <v>2101</v>
      </c>
      <c r="F325" s="329">
        <v>913</v>
      </c>
      <c r="G325" s="335">
        <v>130.12048192771084</v>
      </c>
      <c r="H325" s="336"/>
      <c r="I325" s="336"/>
      <c r="J325" s="335"/>
      <c r="K325" s="342"/>
      <c r="L325" s="342"/>
      <c r="M325" s="336"/>
      <c r="N325" s="336"/>
      <c r="O325" s="336"/>
      <c r="P325" s="336"/>
      <c r="Q325" s="342">
        <v>533</v>
      </c>
      <c r="R325" s="345">
        <v>430</v>
      </c>
      <c r="S325" s="333">
        <f t="shared" si="52"/>
        <v>23.953488372093005</v>
      </c>
    </row>
    <row r="326" spans="1:19" ht="14.25">
      <c r="A326" s="337" t="s">
        <v>1202</v>
      </c>
      <c r="B326" s="332">
        <v>0</v>
      </c>
      <c r="C326" s="332">
        <v>0</v>
      </c>
      <c r="D326" s="333"/>
      <c r="E326" s="329">
        <v>120</v>
      </c>
      <c r="F326" s="329">
        <v>120</v>
      </c>
      <c r="G326" s="335">
        <v>0</v>
      </c>
      <c r="H326" s="336"/>
      <c r="I326" s="336"/>
      <c r="J326" s="335"/>
      <c r="K326" s="342"/>
      <c r="L326" s="342"/>
      <c r="M326" s="336"/>
      <c r="N326" s="336"/>
      <c r="O326" s="336"/>
      <c r="P326" s="336"/>
      <c r="Q326" s="342"/>
      <c r="R326" s="345"/>
      <c r="S326" s="345"/>
    </row>
    <row r="327" spans="1:19" ht="14.25">
      <c r="A327" s="337" t="s">
        <v>1203</v>
      </c>
      <c r="B327" s="332">
        <v>1480.1</v>
      </c>
      <c r="C327" s="332">
        <v>1183</v>
      </c>
      <c r="D327" s="333">
        <f aca="true" t="shared" si="53" ref="D327:D388">B327/C327*100-100</f>
        <v>25.11411665257819</v>
      </c>
      <c r="E327" s="329">
        <v>902</v>
      </c>
      <c r="F327" s="329">
        <v>702</v>
      </c>
      <c r="G327" s="335">
        <v>28.49002849002849</v>
      </c>
      <c r="H327" s="336"/>
      <c r="I327" s="336"/>
      <c r="J327" s="335"/>
      <c r="K327" s="347">
        <v>262</v>
      </c>
      <c r="L327" s="341">
        <v>238</v>
      </c>
      <c r="M327" s="336"/>
      <c r="N327" s="336"/>
      <c r="O327" s="336"/>
      <c r="P327" s="336"/>
      <c r="Q327" s="342">
        <v>921</v>
      </c>
      <c r="R327" s="345">
        <v>1150</v>
      </c>
      <c r="S327" s="333">
        <f aca="true" t="shared" si="54" ref="S327:S332">Q327/R327*100-100</f>
        <v>-19.913043478260875</v>
      </c>
    </row>
    <row r="328" spans="1:19" ht="14.25">
      <c r="A328" s="337" t="s">
        <v>1204</v>
      </c>
      <c r="B328" s="332">
        <v>532</v>
      </c>
      <c r="C328" s="332">
        <v>382</v>
      </c>
      <c r="D328" s="333">
        <f t="shared" si="53"/>
        <v>39.26701570680629</v>
      </c>
      <c r="E328" s="329"/>
      <c r="F328" s="329"/>
      <c r="G328" s="335"/>
      <c r="H328" s="336"/>
      <c r="I328" s="336"/>
      <c r="J328" s="335"/>
      <c r="K328" s="342"/>
      <c r="L328" s="342"/>
      <c r="M328" s="336"/>
      <c r="N328" s="336"/>
      <c r="O328" s="336"/>
      <c r="P328" s="336"/>
      <c r="Q328" s="342">
        <v>382</v>
      </c>
      <c r="R328" s="345"/>
      <c r="S328" s="345"/>
    </row>
    <row r="329" spans="1:19" ht="14.25">
      <c r="A329" s="337" t="s">
        <v>1205</v>
      </c>
      <c r="B329" s="332">
        <v>121</v>
      </c>
      <c r="C329" s="332">
        <v>120</v>
      </c>
      <c r="D329" s="333">
        <f t="shared" si="53"/>
        <v>0.8333333333333286</v>
      </c>
      <c r="E329" s="329"/>
      <c r="F329" s="329"/>
      <c r="G329" s="335"/>
      <c r="H329" s="336"/>
      <c r="I329" s="336"/>
      <c r="J329" s="335"/>
      <c r="K329" s="342"/>
      <c r="L329" s="342"/>
      <c r="M329" s="336"/>
      <c r="N329" s="336"/>
      <c r="O329" s="336"/>
      <c r="P329" s="336"/>
      <c r="Q329" s="342">
        <v>120</v>
      </c>
      <c r="R329" s="345">
        <v>125</v>
      </c>
      <c r="S329" s="333">
        <f t="shared" si="54"/>
        <v>-4</v>
      </c>
    </row>
    <row r="330" spans="1:19" ht="14.25">
      <c r="A330" s="337" t="s">
        <v>1206</v>
      </c>
      <c r="B330" s="332">
        <v>16835.2</v>
      </c>
      <c r="C330" s="332">
        <v>16392</v>
      </c>
      <c r="D330" s="333">
        <f t="shared" si="53"/>
        <v>2.703757930697904</v>
      </c>
      <c r="E330" s="329">
        <v>1079</v>
      </c>
      <c r="F330" s="329">
        <v>1079</v>
      </c>
      <c r="G330" s="335">
        <v>0</v>
      </c>
      <c r="H330" s="336">
        <v>400</v>
      </c>
      <c r="I330" s="336">
        <v>600</v>
      </c>
      <c r="J330" s="335">
        <f aca="true" t="shared" si="55" ref="J330:J335">H330/I330*100-100</f>
        <v>-33.33333333333334</v>
      </c>
      <c r="K330" s="347">
        <v>595</v>
      </c>
      <c r="L330" s="341">
        <v>507</v>
      </c>
      <c r="M330" s="336"/>
      <c r="N330" s="336"/>
      <c r="O330" s="336"/>
      <c r="P330" s="336"/>
      <c r="Q330" s="342">
        <v>15797</v>
      </c>
      <c r="R330" s="345">
        <v>6705</v>
      </c>
      <c r="S330" s="333">
        <f t="shared" si="54"/>
        <v>135.60029828486205</v>
      </c>
    </row>
    <row r="331" spans="1:19" ht="14.25">
      <c r="A331" s="337" t="s">
        <v>1207</v>
      </c>
      <c r="B331" s="332">
        <v>126</v>
      </c>
      <c r="C331" s="332">
        <v>94</v>
      </c>
      <c r="D331" s="333">
        <f t="shared" si="53"/>
        <v>34.04255319148936</v>
      </c>
      <c r="E331" s="329">
        <v>12</v>
      </c>
      <c r="F331" s="329">
        <v>12</v>
      </c>
      <c r="G331" s="335">
        <v>0</v>
      </c>
      <c r="H331" s="336"/>
      <c r="I331" s="336"/>
      <c r="J331" s="335"/>
      <c r="K331" s="347">
        <v>71</v>
      </c>
      <c r="L331" s="341">
        <v>62</v>
      </c>
      <c r="M331" s="336"/>
      <c r="N331" s="336"/>
      <c r="O331" s="336"/>
      <c r="P331" s="336"/>
      <c r="Q331" s="342">
        <v>23</v>
      </c>
      <c r="R331" s="345">
        <v>10</v>
      </c>
      <c r="S331" s="333">
        <f t="shared" si="54"/>
        <v>129.99999999999997</v>
      </c>
    </row>
    <row r="332" spans="1:19" ht="14.25">
      <c r="A332" s="337" t="s">
        <v>1208</v>
      </c>
      <c r="B332" s="332">
        <v>21319</v>
      </c>
      <c r="C332" s="332">
        <v>52871</v>
      </c>
      <c r="D332" s="333">
        <f t="shared" si="53"/>
        <v>-59.67732783567551</v>
      </c>
      <c r="E332" s="329">
        <v>50000</v>
      </c>
      <c r="F332" s="329">
        <v>35000</v>
      </c>
      <c r="G332" s="335">
        <v>42.857142857142854</v>
      </c>
      <c r="H332" s="336">
        <v>4100</v>
      </c>
      <c r="I332" s="336">
        <v>3000</v>
      </c>
      <c r="J332" s="335">
        <f t="shared" si="55"/>
        <v>36.66666666666666</v>
      </c>
      <c r="K332" s="347">
        <v>867</v>
      </c>
      <c r="L332" s="341">
        <v>754</v>
      </c>
      <c r="M332" s="336"/>
      <c r="N332" s="336"/>
      <c r="O332" s="336"/>
      <c r="P332" s="336"/>
      <c r="Q332" s="342">
        <v>52004</v>
      </c>
      <c r="R332" s="345">
        <v>39164</v>
      </c>
      <c r="S332" s="333">
        <f t="shared" si="54"/>
        <v>32.785210907976705</v>
      </c>
    </row>
    <row r="333" spans="1:19" ht="14.25">
      <c r="A333" s="337" t="s">
        <v>1209</v>
      </c>
      <c r="B333" s="332">
        <v>12</v>
      </c>
      <c r="C333" s="332">
        <v>0</v>
      </c>
      <c r="D333" s="333"/>
      <c r="E333" s="329">
        <v>0</v>
      </c>
      <c r="F333" s="329">
        <v>0</v>
      </c>
      <c r="G333" s="335"/>
      <c r="H333" s="336"/>
      <c r="I333" s="336"/>
      <c r="J333" s="335"/>
      <c r="K333" s="342"/>
      <c r="L333" s="342"/>
      <c r="M333" s="336"/>
      <c r="N333" s="336"/>
      <c r="O333" s="336"/>
      <c r="P333" s="336"/>
      <c r="Q333" s="342"/>
      <c r="R333" s="345"/>
      <c r="S333" s="345"/>
    </row>
    <row r="334" spans="1:19" ht="14.25">
      <c r="A334" s="337" t="s">
        <v>1210</v>
      </c>
      <c r="B334" s="332">
        <v>21307</v>
      </c>
      <c r="C334" s="332">
        <v>52871</v>
      </c>
      <c r="D334" s="333">
        <f t="shared" si="53"/>
        <v>-59.700024588148516</v>
      </c>
      <c r="E334" s="329">
        <v>50000</v>
      </c>
      <c r="F334" s="329">
        <v>35000</v>
      </c>
      <c r="G334" s="335">
        <v>42.857142857142854</v>
      </c>
      <c r="H334" s="336">
        <v>4100</v>
      </c>
      <c r="I334" s="336">
        <v>3000</v>
      </c>
      <c r="J334" s="335">
        <f t="shared" si="55"/>
        <v>36.66666666666666</v>
      </c>
      <c r="K334" s="347">
        <v>867</v>
      </c>
      <c r="L334" s="341">
        <v>754</v>
      </c>
      <c r="M334" s="336"/>
      <c r="N334" s="336"/>
      <c r="O334" s="336"/>
      <c r="P334" s="336"/>
      <c r="Q334" s="342">
        <v>52004</v>
      </c>
      <c r="R334" s="345">
        <v>39164</v>
      </c>
      <c r="S334" s="333">
        <f>Q334/R334*100-100</f>
        <v>32.785210907976705</v>
      </c>
    </row>
    <row r="335" spans="1:19" ht="14.25">
      <c r="A335" s="337" t="s">
        <v>1211</v>
      </c>
      <c r="B335" s="332">
        <v>1135</v>
      </c>
      <c r="C335" s="332">
        <v>385</v>
      </c>
      <c r="D335" s="333">
        <f t="shared" si="53"/>
        <v>194.8051948051948</v>
      </c>
      <c r="E335" s="329">
        <v>12981</v>
      </c>
      <c r="F335" s="329">
        <v>12981</v>
      </c>
      <c r="G335" s="335">
        <v>0</v>
      </c>
      <c r="H335" s="336">
        <f>15000-165</f>
        <v>14835</v>
      </c>
      <c r="I335" s="336">
        <v>12000</v>
      </c>
      <c r="J335" s="335">
        <f t="shared" si="55"/>
        <v>23.625</v>
      </c>
      <c r="K335" s="347">
        <v>385</v>
      </c>
      <c r="L335" s="341">
        <v>335</v>
      </c>
      <c r="M335" s="336"/>
      <c r="N335" s="336"/>
      <c r="O335" s="336"/>
      <c r="P335" s="336"/>
      <c r="Q335" s="342"/>
      <c r="R335" s="345"/>
      <c r="S335" s="345"/>
    </row>
    <row r="336" spans="1:19" ht="14.25">
      <c r="A336" s="337" t="s">
        <v>1212</v>
      </c>
      <c r="B336" s="332">
        <v>184</v>
      </c>
      <c r="C336" s="332">
        <v>219</v>
      </c>
      <c r="D336" s="333">
        <f t="shared" si="53"/>
        <v>-15.981735159817362</v>
      </c>
      <c r="E336" s="329">
        <v>96</v>
      </c>
      <c r="F336" s="329">
        <v>96</v>
      </c>
      <c r="G336" s="335">
        <v>0</v>
      </c>
      <c r="H336" s="336"/>
      <c r="I336" s="336"/>
      <c r="J336" s="335"/>
      <c r="K336" s="347">
        <v>30</v>
      </c>
      <c r="L336" s="341">
        <v>26</v>
      </c>
      <c r="M336" s="336"/>
      <c r="N336" s="336"/>
      <c r="O336" s="336"/>
      <c r="P336" s="336"/>
      <c r="Q336" s="342">
        <v>189</v>
      </c>
      <c r="R336" s="345">
        <v>353</v>
      </c>
      <c r="S336" s="333">
        <f aca="true" t="shared" si="56" ref="S336:S341">Q336/R336*100-100</f>
        <v>-46.45892351274787</v>
      </c>
    </row>
    <row r="337" spans="1:19" ht="14.25">
      <c r="A337" s="337" t="s">
        <v>1213</v>
      </c>
      <c r="B337" s="332">
        <v>3074</v>
      </c>
      <c r="C337" s="332">
        <v>11</v>
      </c>
      <c r="D337" s="333">
        <f t="shared" si="53"/>
        <v>27845.454545454544</v>
      </c>
      <c r="E337" s="329">
        <v>0</v>
      </c>
      <c r="F337" s="329">
        <v>0</v>
      </c>
      <c r="G337" s="335"/>
      <c r="H337" s="336">
        <v>200</v>
      </c>
      <c r="I337" s="336">
        <v>300</v>
      </c>
      <c r="J337" s="335">
        <f aca="true" t="shared" si="57" ref="J337:J339">H337/I337*100-100</f>
        <v>-33.33333333333334</v>
      </c>
      <c r="K337" s="347">
        <v>5</v>
      </c>
      <c r="L337" s="341">
        <v>4</v>
      </c>
      <c r="M337" s="336"/>
      <c r="N337" s="336"/>
      <c r="O337" s="336"/>
      <c r="P337" s="336"/>
      <c r="Q337" s="342">
        <v>6</v>
      </c>
      <c r="R337" s="345">
        <v>28</v>
      </c>
      <c r="S337" s="333">
        <f t="shared" si="56"/>
        <v>-78.57142857142857</v>
      </c>
    </row>
    <row r="338" spans="1:19" ht="14.25">
      <c r="A338" s="331" t="s">
        <v>1214</v>
      </c>
      <c r="B338" s="332">
        <v>2285</v>
      </c>
      <c r="C338" s="332">
        <v>2654</v>
      </c>
      <c r="D338" s="333">
        <f t="shared" si="53"/>
        <v>-13.903541823662394</v>
      </c>
      <c r="E338" s="329">
        <v>4064</v>
      </c>
      <c r="F338" s="329">
        <v>6140</v>
      </c>
      <c r="G338" s="335">
        <v>-33.811074918566774</v>
      </c>
      <c r="H338" s="336">
        <v>2000</v>
      </c>
      <c r="I338" s="336">
        <v>2200</v>
      </c>
      <c r="J338" s="335">
        <f t="shared" si="57"/>
        <v>-9.090909090909093</v>
      </c>
      <c r="K338" s="347">
        <v>198</v>
      </c>
      <c r="L338" s="341">
        <v>173</v>
      </c>
      <c r="M338" s="336"/>
      <c r="N338" s="336"/>
      <c r="O338" s="336"/>
      <c r="P338" s="336"/>
      <c r="Q338" s="342">
        <v>2456</v>
      </c>
      <c r="R338" s="345">
        <v>2558</v>
      </c>
      <c r="S338" s="333">
        <f t="shared" si="56"/>
        <v>-3.987490226739638</v>
      </c>
    </row>
    <row r="339" spans="1:19" ht="14.25">
      <c r="A339" s="337" t="s">
        <v>1215</v>
      </c>
      <c r="B339" s="332">
        <v>1033</v>
      </c>
      <c r="C339" s="332">
        <v>1522</v>
      </c>
      <c r="D339" s="333">
        <f t="shared" si="53"/>
        <v>-32.1287779237845</v>
      </c>
      <c r="E339" s="329">
        <v>1689</v>
      </c>
      <c r="F339" s="329">
        <v>3192</v>
      </c>
      <c r="G339" s="335">
        <v>-47.08646616541353</v>
      </c>
      <c r="H339" s="336">
        <v>500</v>
      </c>
      <c r="I339" s="336">
        <v>600</v>
      </c>
      <c r="J339" s="335">
        <f t="shared" si="57"/>
        <v>-16.666666666666657</v>
      </c>
      <c r="K339" s="347">
        <v>129</v>
      </c>
      <c r="L339" s="341">
        <v>113</v>
      </c>
      <c r="M339" s="336"/>
      <c r="N339" s="336"/>
      <c r="O339" s="336"/>
      <c r="P339" s="336"/>
      <c r="Q339" s="342">
        <v>1393</v>
      </c>
      <c r="R339" s="345">
        <v>1223</v>
      </c>
      <c r="S339" s="333">
        <f t="shared" si="56"/>
        <v>13.90024529844645</v>
      </c>
    </row>
    <row r="340" spans="1:19" ht="14.25">
      <c r="A340" s="337" t="s">
        <v>1201</v>
      </c>
      <c r="B340" s="332">
        <v>626</v>
      </c>
      <c r="C340" s="332">
        <v>845</v>
      </c>
      <c r="D340" s="333">
        <f t="shared" si="53"/>
        <v>-25.917159763313606</v>
      </c>
      <c r="E340" s="329"/>
      <c r="F340" s="329"/>
      <c r="G340" s="335"/>
      <c r="H340" s="336"/>
      <c r="I340" s="336"/>
      <c r="J340" s="335"/>
      <c r="K340" s="342"/>
      <c r="L340" s="342"/>
      <c r="M340" s="336"/>
      <c r="N340" s="336"/>
      <c r="O340" s="336"/>
      <c r="P340" s="336"/>
      <c r="Q340" s="342">
        <v>845</v>
      </c>
      <c r="R340" s="345">
        <v>424</v>
      </c>
      <c r="S340" s="333">
        <f t="shared" si="56"/>
        <v>99.2924528301887</v>
      </c>
    </row>
    <row r="341" spans="1:19" ht="14.25">
      <c r="A341" s="337" t="s">
        <v>1202</v>
      </c>
      <c r="B341" s="332">
        <v>5</v>
      </c>
      <c r="C341" s="332">
        <v>2</v>
      </c>
      <c r="D341" s="333">
        <f t="shared" si="53"/>
        <v>150</v>
      </c>
      <c r="E341" s="329">
        <v>10</v>
      </c>
      <c r="F341" s="329">
        <v>10</v>
      </c>
      <c r="G341" s="335">
        <v>0</v>
      </c>
      <c r="H341" s="336"/>
      <c r="I341" s="336"/>
      <c r="J341" s="335"/>
      <c r="K341" s="342"/>
      <c r="L341" s="342"/>
      <c r="M341" s="336"/>
      <c r="N341" s="336"/>
      <c r="O341" s="336"/>
      <c r="P341" s="336"/>
      <c r="Q341" s="342">
        <v>2</v>
      </c>
      <c r="R341" s="345">
        <v>5</v>
      </c>
      <c r="S341" s="333">
        <f t="shared" si="56"/>
        <v>-60</v>
      </c>
    </row>
    <row r="342" spans="1:19" ht="14.25">
      <c r="A342" s="337" t="s">
        <v>1216</v>
      </c>
      <c r="B342" s="332">
        <v>0</v>
      </c>
      <c r="C342" s="332">
        <v>0</v>
      </c>
      <c r="D342" s="333"/>
      <c r="E342" s="329">
        <v>250</v>
      </c>
      <c r="F342" s="329">
        <v>653</v>
      </c>
      <c r="G342" s="335">
        <v>-61.71516079632465</v>
      </c>
      <c r="H342" s="336"/>
      <c r="I342" s="336"/>
      <c r="J342" s="335"/>
      <c r="K342" s="342"/>
      <c r="L342" s="342"/>
      <c r="M342" s="336"/>
      <c r="N342" s="336"/>
      <c r="O342" s="336"/>
      <c r="P342" s="336"/>
      <c r="Q342" s="342"/>
      <c r="R342" s="345"/>
      <c r="S342" s="345"/>
    </row>
    <row r="343" spans="1:19" ht="14.25">
      <c r="A343" s="337" t="s">
        <v>1217</v>
      </c>
      <c r="B343" s="332">
        <v>0</v>
      </c>
      <c r="C343" s="332">
        <v>0</v>
      </c>
      <c r="D343" s="333"/>
      <c r="E343" s="329">
        <v>12</v>
      </c>
      <c r="F343" s="329">
        <v>12</v>
      </c>
      <c r="G343" s="335">
        <v>0</v>
      </c>
      <c r="H343" s="336"/>
      <c r="I343" s="336"/>
      <c r="J343" s="335"/>
      <c r="K343" s="342"/>
      <c r="L343" s="342"/>
      <c r="M343" s="336"/>
      <c r="N343" s="336"/>
      <c r="O343" s="336"/>
      <c r="P343" s="336"/>
      <c r="Q343" s="342"/>
      <c r="R343" s="345"/>
      <c r="S343" s="345"/>
    </row>
    <row r="344" spans="1:19" ht="14.25">
      <c r="A344" s="337" t="s">
        <v>1218</v>
      </c>
      <c r="B344" s="332">
        <v>30</v>
      </c>
      <c r="C344" s="332">
        <v>16</v>
      </c>
      <c r="D344" s="333">
        <f t="shared" si="53"/>
        <v>87.5</v>
      </c>
      <c r="E344" s="329">
        <v>89</v>
      </c>
      <c r="F344" s="329">
        <v>91</v>
      </c>
      <c r="G344" s="335">
        <v>-2.197802197802198</v>
      </c>
      <c r="H344" s="336"/>
      <c r="I344" s="336"/>
      <c r="J344" s="335"/>
      <c r="K344" s="342"/>
      <c r="L344" s="342"/>
      <c r="M344" s="336"/>
      <c r="N344" s="336"/>
      <c r="O344" s="336"/>
      <c r="P344" s="336"/>
      <c r="Q344" s="342">
        <v>16</v>
      </c>
      <c r="R344" s="345">
        <v>16</v>
      </c>
      <c r="S344" s="333">
        <f aca="true" t="shared" si="58" ref="S344:S348">Q344/R344*100-100</f>
        <v>0</v>
      </c>
    </row>
    <row r="345" spans="1:19" ht="14.25">
      <c r="A345" s="337" t="s">
        <v>1219</v>
      </c>
      <c r="B345" s="332">
        <v>20</v>
      </c>
      <c r="C345" s="332">
        <v>20</v>
      </c>
      <c r="D345" s="333">
        <f t="shared" si="53"/>
        <v>0</v>
      </c>
      <c r="E345" s="329">
        <v>25</v>
      </c>
      <c r="F345" s="329">
        <v>21</v>
      </c>
      <c r="G345" s="335">
        <v>19.047619047619047</v>
      </c>
      <c r="H345" s="336"/>
      <c r="I345" s="336"/>
      <c r="J345" s="335"/>
      <c r="K345" s="342"/>
      <c r="L345" s="342"/>
      <c r="M345" s="336"/>
      <c r="N345" s="336"/>
      <c r="O345" s="336"/>
      <c r="P345" s="336"/>
      <c r="Q345" s="342">
        <v>20</v>
      </c>
      <c r="R345" s="345">
        <v>20</v>
      </c>
      <c r="S345" s="333">
        <f t="shared" si="58"/>
        <v>0</v>
      </c>
    </row>
    <row r="346" spans="1:19" ht="14.25">
      <c r="A346" s="337" t="s">
        <v>1220</v>
      </c>
      <c r="B346" s="332">
        <v>0</v>
      </c>
      <c r="C346" s="332">
        <v>0</v>
      </c>
      <c r="D346" s="333"/>
      <c r="E346" s="329">
        <v>8</v>
      </c>
      <c r="F346" s="329">
        <v>8</v>
      </c>
      <c r="G346" s="335">
        <v>0</v>
      </c>
      <c r="H346" s="336"/>
      <c r="I346" s="336"/>
      <c r="J346" s="335"/>
      <c r="K346" s="342"/>
      <c r="L346" s="342"/>
      <c r="M346" s="336"/>
      <c r="N346" s="336"/>
      <c r="O346" s="336"/>
      <c r="P346" s="336"/>
      <c r="Q346" s="342"/>
      <c r="R346" s="345"/>
      <c r="S346" s="345"/>
    </row>
    <row r="347" spans="1:19" ht="14.25">
      <c r="A347" s="337" t="s">
        <v>1221</v>
      </c>
      <c r="B347" s="332">
        <v>0</v>
      </c>
      <c r="C347" s="332">
        <v>0</v>
      </c>
      <c r="D347" s="333"/>
      <c r="E347" s="329">
        <v>200</v>
      </c>
      <c r="F347" s="329">
        <v>399</v>
      </c>
      <c r="G347" s="335">
        <v>-49.87468671679198</v>
      </c>
      <c r="H347" s="336"/>
      <c r="I347" s="336"/>
      <c r="J347" s="335"/>
      <c r="K347" s="342"/>
      <c r="L347" s="342"/>
      <c r="M347" s="336"/>
      <c r="N347" s="336"/>
      <c r="O347" s="336"/>
      <c r="P347" s="336"/>
      <c r="Q347" s="342"/>
      <c r="R347" s="345">
        <v>12</v>
      </c>
      <c r="S347" s="333">
        <f t="shared" si="58"/>
        <v>-100</v>
      </c>
    </row>
    <row r="348" spans="1:19" ht="14.25">
      <c r="A348" s="337" t="s">
        <v>1222</v>
      </c>
      <c r="B348" s="332">
        <v>0</v>
      </c>
      <c r="C348" s="332">
        <v>0</v>
      </c>
      <c r="D348" s="333"/>
      <c r="E348" s="329">
        <v>0</v>
      </c>
      <c r="F348" s="329">
        <v>167</v>
      </c>
      <c r="G348" s="335">
        <v>-100</v>
      </c>
      <c r="H348" s="336"/>
      <c r="I348" s="336"/>
      <c r="J348" s="335"/>
      <c r="K348" s="342"/>
      <c r="L348" s="342"/>
      <c r="M348" s="336"/>
      <c r="N348" s="336"/>
      <c r="O348" s="336"/>
      <c r="P348" s="336"/>
      <c r="Q348" s="342"/>
      <c r="R348" s="345">
        <v>3</v>
      </c>
      <c r="S348" s="333">
        <f t="shared" si="58"/>
        <v>-100</v>
      </c>
    </row>
    <row r="349" spans="1:19" ht="14.25">
      <c r="A349" s="337" t="s">
        <v>1223</v>
      </c>
      <c r="B349" s="332">
        <v>0</v>
      </c>
      <c r="C349" s="332">
        <v>0</v>
      </c>
      <c r="D349" s="333"/>
      <c r="E349" s="329">
        <v>500</v>
      </c>
      <c r="F349" s="329">
        <v>938</v>
      </c>
      <c r="G349" s="335">
        <v>-46.695095948827294</v>
      </c>
      <c r="H349" s="336"/>
      <c r="I349" s="336"/>
      <c r="J349" s="335"/>
      <c r="K349" s="342"/>
      <c r="L349" s="342"/>
      <c r="M349" s="336"/>
      <c r="N349" s="336"/>
      <c r="O349" s="336"/>
      <c r="P349" s="336"/>
      <c r="Q349" s="342"/>
      <c r="R349" s="345"/>
      <c r="S349" s="345"/>
    </row>
    <row r="350" spans="1:19" ht="14.25">
      <c r="A350" s="337" t="s">
        <v>1224</v>
      </c>
      <c r="B350" s="332">
        <v>0</v>
      </c>
      <c r="C350" s="332">
        <v>0</v>
      </c>
      <c r="D350" s="333"/>
      <c r="E350" s="329">
        <v>0</v>
      </c>
      <c r="F350" s="329">
        <v>11</v>
      </c>
      <c r="G350" s="335">
        <v>-100</v>
      </c>
      <c r="H350" s="336"/>
      <c r="I350" s="336"/>
      <c r="J350" s="335"/>
      <c r="K350" s="342"/>
      <c r="L350" s="342"/>
      <c r="M350" s="336"/>
      <c r="N350" s="336"/>
      <c r="O350" s="336"/>
      <c r="P350" s="336"/>
      <c r="Q350" s="342"/>
      <c r="R350" s="345"/>
      <c r="S350" s="345"/>
    </row>
    <row r="351" spans="1:19" ht="14.25">
      <c r="A351" s="337" t="s">
        <v>1225</v>
      </c>
      <c r="B351" s="332">
        <v>176</v>
      </c>
      <c r="C351" s="332">
        <v>217</v>
      </c>
      <c r="D351" s="333">
        <f t="shared" si="53"/>
        <v>-18.894009216589865</v>
      </c>
      <c r="E351" s="329">
        <v>500</v>
      </c>
      <c r="F351" s="329">
        <v>706</v>
      </c>
      <c r="G351" s="335">
        <v>-29.178470254957507</v>
      </c>
      <c r="H351" s="336"/>
      <c r="I351" s="336"/>
      <c r="J351" s="335"/>
      <c r="K351" s="342"/>
      <c r="L351" s="342"/>
      <c r="M351" s="336"/>
      <c r="N351" s="336"/>
      <c r="O351" s="336"/>
      <c r="P351" s="336"/>
      <c r="Q351" s="342">
        <v>217</v>
      </c>
      <c r="R351" s="345">
        <v>214</v>
      </c>
      <c r="S351" s="333">
        <f aca="true" t="shared" si="59" ref="S351:S355">Q351/R351*100-100</f>
        <v>1.4018691588784975</v>
      </c>
    </row>
    <row r="352" spans="1:19" ht="14.25">
      <c r="A352" s="337" t="s">
        <v>1226</v>
      </c>
      <c r="B352" s="332">
        <v>27</v>
      </c>
      <c r="C352" s="332">
        <v>27</v>
      </c>
      <c r="D352" s="333">
        <f t="shared" si="53"/>
        <v>0</v>
      </c>
      <c r="E352" s="329"/>
      <c r="F352" s="329"/>
      <c r="G352" s="335"/>
      <c r="H352" s="336"/>
      <c r="I352" s="336"/>
      <c r="J352" s="335"/>
      <c r="K352" s="342"/>
      <c r="L352" s="342"/>
      <c r="M352" s="336"/>
      <c r="N352" s="336"/>
      <c r="O352" s="336"/>
      <c r="P352" s="336"/>
      <c r="Q352" s="342">
        <v>27</v>
      </c>
      <c r="R352" s="345">
        <v>27</v>
      </c>
      <c r="S352" s="333">
        <f t="shared" si="59"/>
        <v>0</v>
      </c>
    </row>
    <row r="353" spans="1:19" ht="14.25">
      <c r="A353" s="337" t="s">
        <v>1227</v>
      </c>
      <c r="B353" s="332">
        <v>0</v>
      </c>
      <c r="C353" s="332">
        <v>26</v>
      </c>
      <c r="D353" s="333">
        <f t="shared" si="53"/>
        <v>-100</v>
      </c>
      <c r="E353" s="329">
        <v>45</v>
      </c>
      <c r="F353" s="329">
        <v>45</v>
      </c>
      <c r="G353" s="335">
        <v>0</v>
      </c>
      <c r="H353" s="336"/>
      <c r="I353" s="336"/>
      <c r="J353" s="335"/>
      <c r="K353" s="342"/>
      <c r="L353" s="342"/>
      <c r="M353" s="336"/>
      <c r="N353" s="336"/>
      <c r="O353" s="336"/>
      <c r="P353" s="336"/>
      <c r="Q353" s="342">
        <v>26</v>
      </c>
      <c r="R353" s="345">
        <v>2</v>
      </c>
      <c r="S353" s="333">
        <f t="shared" si="59"/>
        <v>1200</v>
      </c>
    </row>
    <row r="354" spans="1:19" ht="14.25">
      <c r="A354" s="337" t="s">
        <v>1228</v>
      </c>
      <c r="B354" s="332">
        <v>150</v>
      </c>
      <c r="C354" s="332">
        <v>369</v>
      </c>
      <c r="D354" s="333">
        <f t="shared" si="53"/>
        <v>-59.34959349593496</v>
      </c>
      <c r="E354" s="329">
        <v>50</v>
      </c>
      <c r="F354" s="329">
        <v>130</v>
      </c>
      <c r="G354" s="335">
        <v>-61.53846153846154</v>
      </c>
      <c r="H354" s="336">
        <v>500</v>
      </c>
      <c r="I354" s="336">
        <v>600</v>
      </c>
      <c r="J354" s="335">
        <f>H354/I354*100-100</f>
        <v>-16.666666666666657</v>
      </c>
      <c r="K354" s="347">
        <v>129</v>
      </c>
      <c r="L354" s="341">
        <v>113</v>
      </c>
      <c r="M354" s="336"/>
      <c r="N354" s="336"/>
      <c r="O354" s="336"/>
      <c r="P354" s="336"/>
      <c r="Q354" s="342">
        <v>240</v>
      </c>
      <c r="R354" s="345">
        <v>500</v>
      </c>
      <c r="S354" s="333">
        <f t="shared" si="59"/>
        <v>-52</v>
      </c>
    </row>
    <row r="355" spans="1:19" ht="14.25">
      <c r="A355" s="337" t="s">
        <v>1229</v>
      </c>
      <c r="B355" s="332">
        <v>250</v>
      </c>
      <c r="C355" s="332">
        <v>274</v>
      </c>
      <c r="D355" s="333">
        <f t="shared" si="53"/>
        <v>-8.759124087591246</v>
      </c>
      <c r="E355" s="329">
        <v>980</v>
      </c>
      <c r="F355" s="329">
        <v>950</v>
      </c>
      <c r="G355" s="335">
        <v>3.1578947368421053</v>
      </c>
      <c r="H355" s="336">
        <v>200</v>
      </c>
      <c r="I355" s="336">
        <v>300</v>
      </c>
      <c r="J355" s="335">
        <f>H355/I355*100-100</f>
        <v>-33.33333333333334</v>
      </c>
      <c r="K355" s="342"/>
      <c r="L355" s="342"/>
      <c r="M355" s="336"/>
      <c r="N355" s="336"/>
      <c r="O355" s="336"/>
      <c r="P355" s="336"/>
      <c r="Q355" s="342">
        <v>274</v>
      </c>
      <c r="R355" s="345">
        <v>225</v>
      </c>
      <c r="S355" s="333">
        <f t="shared" si="59"/>
        <v>21.777777777777786</v>
      </c>
    </row>
    <row r="356" spans="1:19" ht="14.25">
      <c r="A356" s="337" t="s">
        <v>1201</v>
      </c>
      <c r="B356" s="332">
        <v>2</v>
      </c>
      <c r="C356" s="332">
        <v>2</v>
      </c>
      <c r="D356" s="333">
        <f t="shared" si="53"/>
        <v>0</v>
      </c>
      <c r="E356" s="329"/>
      <c r="F356" s="329"/>
      <c r="G356" s="335"/>
      <c r="H356" s="336"/>
      <c r="I356" s="336"/>
      <c r="J356" s="335"/>
      <c r="K356" s="342"/>
      <c r="L356" s="342"/>
      <c r="M356" s="336"/>
      <c r="N356" s="336"/>
      <c r="O356" s="336"/>
      <c r="P356" s="336"/>
      <c r="Q356" s="342">
        <v>2</v>
      </c>
      <c r="R356" s="345"/>
      <c r="S356" s="345"/>
    </row>
    <row r="357" spans="1:19" ht="14.25">
      <c r="A357" s="337" t="s">
        <v>1230</v>
      </c>
      <c r="B357" s="332">
        <v>114</v>
      </c>
      <c r="C357" s="332">
        <v>109</v>
      </c>
      <c r="D357" s="333">
        <f t="shared" si="53"/>
        <v>4.587155963302749</v>
      </c>
      <c r="E357" s="329"/>
      <c r="F357" s="329"/>
      <c r="G357" s="335"/>
      <c r="H357" s="336"/>
      <c r="I357" s="336"/>
      <c r="J357" s="335"/>
      <c r="K357" s="342"/>
      <c r="L357" s="342"/>
      <c r="M357" s="336"/>
      <c r="N357" s="336"/>
      <c r="O357" s="336"/>
      <c r="P357" s="336"/>
      <c r="Q357" s="342">
        <v>109</v>
      </c>
      <c r="R357" s="345">
        <v>102</v>
      </c>
      <c r="S357" s="333">
        <f aca="true" t="shared" si="60" ref="S357:S362">Q357/R357*100-100</f>
        <v>6.862745098039213</v>
      </c>
    </row>
    <row r="358" spans="1:19" ht="14.25">
      <c r="A358" s="337" t="s">
        <v>1231</v>
      </c>
      <c r="B358" s="332">
        <v>31</v>
      </c>
      <c r="C358" s="332">
        <v>100</v>
      </c>
      <c r="D358" s="333">
        <f t="shared" si="53"/>
        <v>-69</v>
      </c>
      <c r="E358" s="329">
        <v>500</v>
      </c>
      <c r="F358" s="329">
        <v>950</v>
      </c>
      <c r="G358" s="335">
        <v>-47.368421052631575</v>
      </c>
      <c r="H358" s="336"/>
      <c r="I358" s="336"/>
      <c r="J358" s="335"/>
      <c r="K358" s="342"/>
      <c r="L358" s="342"/>
      <c r="M358" s="336"/>
      <c r="N358" s="336"/>
      <c r="O358" s="336"/>
      <c r="P358" s="336"/>
      <c r="Q358" s="342">
        <v>100</v>
      </c>
      <c r="R358" s="345">
        <v>77</v>
      </c>
      <c r="S358" s="333">
        <f t="shared" si="60"/>
        <v>29.87012987012986</v>
      </c>
    </row>
    <row r="359" spans="1:19" ht="14.25">
      <c r="A359" s="337" t="s">
        <v>1232</v>
      </c>
      <c r="B359" s="332">
        <v>41</v>
      </c>
      <c r="C359" s="332">
        <v>57</v>
      </c>
      <c r="D359" s="333">
        <f t="shared" si="53"/>
        <v>-28.070175438596493</v>
      </c>
      <c r="E359" s="329"/>
      <c r="F359" s="329"/>
      <c r="G359" s="335"/>
      <c r="H359" s="336"/>
      <c r="I359" s="336"/>
      <c r="J359" s="335"/>
      <c r="K359" s="347">
        <v>9</v>
      </c>
      <c r="L359" s="341">
        <v>8</v>
      </c>
      <c r="M359" s="336"/>
      <c r="N359" s="336"/>
      <c r="O359" s="336"/>
      <c r="P359" s="336"/>
      <c r="Q359" s="342">
        <v>48</v>
      </c>
      <c r="R359" s="345">
        <v>43</v>
      </c>
      <c r="S359" s="333">
        <f t="shared" si="60"/>
        <v>11.627906976744185</v>
      </c>
    </row>
    <row r="360" spans="1:19" ht="14.25">
      <c r="A360" s="337" t="s">
        <v>1233</v>
      </c>
      <c r="B360" s="332">
        <v>62</v>
      </c>
      <c r="C360" s="332">
        <v>15</v>
      </c>
      <c r="D360" s="333">
        <f t="shared" si="53"/>
        <v>313.33333333333337</v>
      </c>
      <c r="E360" s="329"/>
      <c r="F360" s="329"/>
      <c r="G360" s="335"/>
      <c r="H360" s="336">
        <v>200</v>
      </c>
      <c r="I360" s="336">
        <v>300</v>
      </c>
      <c r="J360" s="335">
        <f>H360/I360*100-100</f>
        <v>-33.33333333333334</v>
      </c>
      <c r="K360" s="342"/>
      <c r="L360" s="342"/>
      <c r="M360" s="336"/>
      <c r="N360" s="336"/>
      <c r="O360" s="336"/>
      <c r="P360" s="336"/>
      <c r="Q360" s="342">
        <v>15</v>
      </c>
      <c r="R360" s="345">
        <v>3</v>
      </c>
      <c r="S360" s="333">
        <f t="shared" si="60"/>
        <v>400</v>
      </c>
    </row>
    <row r="361" spans="1:19" ht="14.25">
      <c r="A361" s="337" t="s">
        <v>1234</v>
      </c>
      <c r="B361" s="332">
        <v>177</v>
      </c>
      <c r="C361" s="332">
        <v>153</v>
      </c>
      <c r="D361" s="333">
        <f t="shared" si="53"/>
        <v>15.686274509803937</v>
      </c>
      <c r="E361" s="329">
        <v>644</v>
      </c>
      <c r="F361" s="329">
        <v>837</v>
      </c>
      <c r="G361" s="335">
        <v>-23.058542413381122</v>
      </c>
      <c r="H361" s="336">
        <v>800</v>
      </c>
      <c r="I361" s="336">
        <v>1300</v>
      </c>
      <c r="J361" s="335">
        <f>H361/I361*100-100</f>
        <v>-38.46153846153846</v>
      </c>
      <c r="K361" s="342"/>
      <c r="L361" s="342"/>
      <c r="M361" s="336"/>
      <c r="N361" s="336"/>
      <c r="O361" s="336"/>
      <c r="P361" s="336"/>
      <c r="Q361" s="342">
        <v>153</v>
      </c>
      <c r="R361" s="345">
        <v>491</v>
      </c>
      <c r="S361" s="333">
        <f t="shared" si="60"/>
        <v>-68.83910386965377</v>
      </c>
    </row>
    <row r="362" spans="1:19" ht="14.25">
      <c r="A362" s="337" t="s">
        <v>1202</v>
      </c>
      <c r="B362" s="332">
        <v>3</v>
      </c>
      <c r="C362" s="332">
        <v>3</v>
      </c>
      <c r="D362" s="333">
        <f t="shared" si="53"/>
        <v>0</v>
      </c>
      <c r="E362" s="329"/>
      <c r="F362" s="329"/>
      <c r="G362" s="335"/>
      <c r="H362" s="336"/>
      <c r="I362" s="336"/>
      <c r="J362" s="335"/>
      <c r="K362" s="342"/>
      <c r="L362" s="342"/>
      <c r="M362" s="336"/>
      <c r="N362" s="336"/>
      <c r="O362" s="336"/>
      <c r="P362" s="336"/>
      <c r="Q362" s="342">
        <v>3</v>
      </c>
      <c r="R362" s="345">
        <v>3</v>
      </c>
      <c r="S362" s="333">
        <f t="shared" si="60"/>
        <v>0</v>
      </c>
    </row>
    <row r="363" spans="1:19" ht="14.25">
      <c r="A363" s="337" t="s">
        <v>1235</v>
      </c>
      <c r="B363" s="332">
        <v>10</v>
      </c>
      <c r="C363" s="332">
        <v>0</v>
      </c>
      <c r="D363" s="333"/>
      <c r="E363" s="329">
        <v>131</v>
      </c>
      <c r="F363" s="329">
        <v>131</v>
      </c>
      <c r="G363" s="335">
        <v>0</v>
      </c>
      <c r="H363" s="336"/>
      <c r="I363" s="336"/>
      <c r="J363" s="335"/>
      <c r="K363" s="342"/>
      <c r="L363" s="342"/>
      <c r="M363" s="336"/>
      <c r="N363" s="336"/>
      <c r="O363" s="336"/>
      <c r="P363" s="336"/>
      <c r="Q363" s="342"/>
      <c r="R363" s="345"/>
      <c r="S363" s="345"/>
    </row>
    <row r="364" spans="1:19" ht="14.25">
      <c r="A364" s="337" t="s">
        <v>1236</v>
      </c>
      <c r="B364" s="332">
        <v>20</v>
      </c>
      <c r="C364" s="332">
        <v>0</v>
      </c>
      <c r="D364" s="333"/>
      <c r="E364" s="329">
        <v>0</v>
      </c>
      <c r="F364" s="329">
        <v>46</v>
      </c>
      <c r="G364" s="335">
        <v>-100</v>
      </c>
      <c r="H364" s="336"/>
      <c r="I364" s="336"/>
      <c r="J364" s="335"/>
      <c r="K364" s="342"/>
      <c r="L364" s="342"/>
      <c r="M364" s="336"/>
      <c r="N364" s="336"/>
      <c r="O364" s="336"/>
      <c r="P364" s="336"/>
      <c r="Q364" s="342"/>
      <c r="R364" s="345"/>
      <c r="S364" s="345"/>
    </row>
    <row r="365" spans="1:19" ht="14.25">
      <c r="A365" s="337" t="s">
        <v>1237</v>
      </c>
      <c r="B365" s="332">
        <v>0</v>
      </c>
      <c r="C365" s="332">
        <v>10</v>
      </c>
      <c r="D365" s="333">
        <f t="shared" si="53"/>
        <v>-100</v>
      </c>
      <c r="E365" s="329"/>
      <c r="F365" s="329"/>
      <c r="G365" s="335"/>
      <c r="H365" s="336"/>
      <c r="I365" s="336"/>
      <c r="J365" s="335"/>
      <c r="K365" s="342"/>
      <c r="L365" s="342"/>
      <c r="M365" s="336"/>
      <c r="N365" s="336"/>
      <c r="O365" s="336"/>
      <c r="P365" s="336"/>
      <c r="Q365" s="342">
        <v>10</v>
      </c>
      <c r="R365" s="345">
        <v>10</v>
      </c>
      <c r="S365" s="333">
        <f aca="true" t="shared" si="61" ref="S365:S367">Q365/R365*100-100</f>
        <v>0</v>
      </c>
    </row>
    <row r="366" spans="1:19" ht="14.25">
      <c r="A366" s="337" t="s">
        <v>1238</v>
      </c>
      <c r="B366" s="332">
        <v>0</v>
      </c>
      <c r="C366" s="332">
        <v>0</v>
      </c>
      <c r="D366" s="333"/>
      <c r="E366" s="329"/>
      <c r="F366" s="329"/>
      <c r="G366" s="335"/>
      <c r="H366" s="336"/>
      <c r="I366" s="336"/>
      <c r="J366" s="335"/>
      <c r="K366" s="342"/>
      <c r="L366" s="342"/>
      <c r="M366" s="336"/>
      <c r="N366" s="336"/>
      <c r="O366" s="336"/>
      <c r="P366" s="336"/>
      <c r="Q366" s="342"/>
      <c r="R366" s="345">
        <v>10</v>
      </c>
      <c r="S366" s="333">
        <f t="shared" si="61"/>
        <v>-100</v>
      </c>
    </row>
    <row r="367" spans="1:19" ht="14.25">
      <c r="A367" s="337" t="s">
        <v>1239</v>
      </c>
      <c r="B367" s="332">
        <v>0</v>
      </c>
      <c r="C367" s="332">
        <v>20</v>
      </c>
      <c r="D367" s="333">
        <f t="shared" si="53"/>
        <v>-100</v>
      </c>
      <c r="E367" s="329">
        <v>9</v>
      </c>
      <c r="F367" s="329">
        <v>9</v>
      </c>
      <c r="G367" s="335">
        <v>0</v>
      </c>
      <c r="H367" s="336"/>
      <c r="I367" s="336"/>
      <c r="J367" s="335"/>
      <c r="K367" s="342"/>
      <c r="L367" s="342"/>
      <c r="M367" s="336"/>
      <c r="N367" s="336"/>
      <c r="O367" s="336"/>
      <c r="P367" s="336"/>
      <c r="Q367" s="342">
        <v>20</v>
      </c>
      <c r="R367" s="345">
        <v>20</v>
      </c>
      <c r="S367" s="333">
        <f t="shared" si="61"/>
        <v>0</v>
      </c>
    </row>
    <row r="368" spans="1:19" ht="14.25">
      <c r="A368" s="337" t="s">
        <v>1240</v>
      </c>
      <c r="B368" s="332">
        <v>0</v>
      </c>
      <c r="C368" s="332">
        <v>0</v>
      </c>
      <c r="D368" s="333"/>
      <c r="E368" s="329">
        <v>4</v>
      </c>
      <c r="F368" s="329">
        <v>4</v>
      </c>
      <c r="G368" s="335">
        <v>0</v>
      </c>
      <c r="H368" s="336"/>
      <c r="I368" s="336"/>
      <c r="J368" s="335"/>
      <c r="K368" s="342"/>
      <c r="L368" s="342"/>
      <c r="M368" s="336"/>
      <c r="N368" s="336"/>
      <c r="O368" s="336"/>
      <c r="P368" s="336"/>
      <c r="Q368" s="342"/>
      <c r="R368" s="345"/>
      <c r="S368" s="345"/>
    </row>
    <row r="369" spans="1:19" ht="14.25">
      <c r="A369" s="337" t="s">
        <v>1241</v>
      </c>
      <c r="B369" s="332">
        <v>0</v>
      </c>
      <c r="C369" s="332">
        <v>80</v>
      </c>
      <c r="D369" s="333">
        <f t="shared" si="53"/>
        <v>-100</v>
      </c>
      <c r="E369" s="329">
        <v>500</v>
      </c>
      <c r="F369" s="329">
        <v>647</v>
      </c>
      <c r="G369" s="335">
        <v>-22.720247295208658</v>
      </c>
      <c r="H369" s="336"/>
      <c r="I369" s="336"/>
      <c r="J369" s="335"/>
      <c r="K369" s="342"/>
      <c r="L369" s="342"/>
      <c r="M369" s="336"/>
      <c r="N369" s="336"/>
      <c r="O369" s="336"/>
      <c r="P369" s="336"/>
      <c r="Q369" s="342">
        <v>80</v>
      </c>
      <c r="R369" s="345">
        <v>440</v>
      </c>
      <c r="S369" s="333">
        <f aca="true" t="shared" si="62" ref="S369:S372">Q369/R369*100-100</f>
        <v>-81.81818181818181</v>
      </c>
    </row>
    <row r="370" spans="1:19" ht="14.25">
      <c r="A370" s="358" t="s">
        <v>1242</v>
      </c>
      <c r="B370" s="332">
        <v>48</v>
      </c>
      <c r="C370" s="332">
        <v>40</v>
      </c>
      <c r="D370" s="333">
        <f t="shared" si="53"/>
        <v>20</v>
      </c>
      <c r="E370" s="329"/>
      <c r="F370" s="329"/>
      <c r="G370" s="335"/>
      <c r="H370" s="336"/>
      <c r="I370" s="336"/>
      <c r="J370" s="335"/>
      <c r="K370" s="342"/>
      <c r="L370" s="342"/>
      <c r="M370" s="336"/>
      <c r="N370" s="336"/>
      <c r="O370" s="336"/>
      <c r="P370" s="336"/>
      <c r="Q370" s="342">
        <v>40</v>
      </c>
      <c r="R370" s="345"/>
      <c r="S370" s="345"/>
    </row>
    <row r="371" spans="1:19" ht="14.25">
      <c r="A371" s="337" t="s">
        <v>1243</v>
      </c>
      <c r="B371" s="332">
        <v>96</v>
      </c>
      <c r="C371" s="332">
        <v>0</v>
      </c>
      <c r="D371" s="333"/>
      <c r="E371" s="329"/>
      <c r="F371" s="329"/>
      <c r="G371" s="335"/>
      <c r="H371" s="336">
        <v>800</v>
      </c>
      <c r="I371" s="336">
        <v>1300</v>
      </c>
      <c r="J371" s="335">
        <f>H371/I371*100-100</f>
        <v>-38.46153846153846</v>
      </c>
      <c r="K371" s="342"/>
      <c r="L371" s="342"/>
      <c r="M371" s="336"/>
      <c r="N371" s="336"/>
      <c r="O371" s="336"/>
      <c r="P371" s="336"/>
      <c r="Q371" s="342"/>
      <c r="R371" s="345">
        <v>8</v>
      </c>
      <c r="S371" s="333">
        <f t="shared" si="62"/>
        <v>-100</v>
      </c>
    </row>
    <row r="372" spans="1:19" ht="14.25">
      <c r="A372" s="337" t="s">
        <v>1244</v>
      </c>
      <c r="B372" s="332">
        <v>570</v>
      </c>
      <c r="C372" s="332">
        <v>398</v>
      </c>
      <c r="D372" s="333">
        <f t="shared" si="53"/>
        <v>43.21608040201005</v>
      </c>
      <c r="E372" s="334">
        <v>750</v>
      </c>
      <c r="F372" s="359">
        <v>1159</v>
      </c>
      <c r="G372" s="335">
        <v>-35.28904227782571</v>
      </c>
      <c r="H372" s="336"/>
      <c r="I372" s="336"/>
      <c r="J372" s="335"/>
      <c r="K372" s="347">
        <v>60</v>
      </c>
      <c r="L372" s="341">
        <v>52</v>
      </c>
      <c r="M372" s="336"/>
      <c r="N372" s="336"/>
      <c r="O372" s="336"/>
      <c r="P372" s="336"/>
      <c r="Q372" s="342">
        <v>338</v>
      </c>
      <c r="R372" s="345">
        <v>252</v>
      </c>
      <c r="S372" s="333">
        <f t="shared" si="62"/>
        <v>34.12698412698413</v>
      </c>
    </row>
    <row r="373" spans="1:19" ht="14.25">
      <c r="A373" s="337" t="s">
        <v>1245</v>
      </c>
      <c r="B373" s="332">
        <v>0</v>
      </c>
      <c r="C373" s="332">
        <v>60</v>
      </c>
      <c r="D373" s="333">
        <f t="shared" si="53"/>
        <v>-100</v>
      </c>
      <c r="E373" s="334">
        <v>250</v>
      </c>
      <c r="F373" s="359">
        <v>447</v>
      </c>
      <c r="G373" s="335">
        <v>-44.07158836689038</v>
      </c>
      <c r="H373" s="336"/>
      <c r="I373" s="336"/>
      <c r="J373" s="335"/>
      <c r="K373" s="342"/>
      <c r="L373" s="342"/>
      <c r="M373" s="336"/>
      <c r="N373" s="336"/>
      <c r="O373" s="336"/>
      <c r="P373" s="336"/>
      <c r="Q373" s="342">
        <v>60</v>
      </c>
      <c r="R373" s="345"/>
      <c r="S373" s="345"/>
    </row>
    <row r="374" spans="1:19" ht="14.25">
      <c r="A374" s="337" t="s">
        <v>1246</v>
      </c>
      <c r="B374" s="332">
        <v>350</v>
      </c>
      <c r="C374" s="332">
        <v>212</v>
      </c>
      <c r="D374" s="333">
        <f t="shared" si="53"/>
        <v>65.09433962264151</v>
      </c>
      <c r="E374" s="334">
        <v>500</v>
      </c>
      <c r="F374" s="359">
        <v>572</v>
      </c>
      <c r="G374" s="335">
        <v>-12.587412587412588</v>
      </c>
      <c r="H374" s="336"/>
      <c r="I374" s="336"/>
      <c r="J374" s="335"/>
      <c r="K374" s="347">
        <v>60</v>
      </c>
      <c r="L374" s="341">
        <v>52</v>
      </c>
      <c r="M374" s="336"/>
      <c r="N374" s="336"/>
      <c r="O374" s="336"/>
      <c r="P374" s="336"/>
      <c r="Q374" s="342">
        <v>152</v>
      </c>
      <c r="R374" s="345">
        <v>126</v>
      </c>
      <c r="S374" s="333">
        <f>Q374/R374*100-100</f>
        <v>20.634920634920633</v>
      </c>
    </row>
    <row r="375" spans="1:19" ht="14.25">
      <c r="A375" s="337" t="s">
        <v>1247</v>
      </c>
      <c r="B375" s="332">
        <v>126</v>
      </c>
      <c r="C375" s="332">
        <v>126</v>
      </c>
      <c r="D375" s="333">
        <f t="shared" si="53"/>
        <v>0</v>
      </c>
      <c r="E375" s="334"/>
      <c r="F375" s="359"/>
      <c r="G375" s="335"/>
      <c r="H375" s="336"/>
      <c r="I375" s="336"/>
      <c r="J375" s="335"/>
      <c r="K375" s="342"/>
      <c r="L375" s="342"/>
      <c r="M375" s="336"/>
      <c r="N375" s="336"/>
      <c r="O375" s="336"/>
      <c r="P375" s="336"/>
      <c r="Q375" s="342">
        <v>126</v>
      </c>
      <c r="R375" s="345">
        <v>126</v>
      </c>
      <c r="S375" s="333">
        <f>Q375/R375*100-100</f>
        <v>0</v>
      </c>
    </row>
    <row r="376" spans="1:19" ht="14.25">
      <c r="A376" s="337" t="s">
        <v>1248</v>
      </c>
      <c r="B376" s="332">
        <v>94</v>
      </c>
      <c r="C376" s="332">
        <v>0</v>
      </c>
      <c r="D376" s="333"/>
      <c r="E376" s="334">
        <v>0</v>
      </c>
      <c r="F376" s="359">
        <v>141</v>
      </c>
      <c r="G376" s="335">
        <v>-100</v>
      </c>
      <c r="H376" s="336"/>
      <c r="I376" s="336"/>
      <c r="J376" s="335"/>
      <c r="K376" s="342"/>
      <c r="L376" s="342"/>
      <c r="M376" s="336"/>
      <c r="N376" s="336"/>
      <c r="O376" s="336"/>
      <c r="P376" s="336"/>
      <c r="Q376" s="342"/>
      <c r="R376" s="345"/>
      <c r="S376" s="345"/>
    </row>
    <row r="377" spans="1:19" ht="14.25">
      <c r="A377" s="337" t="s">
        <v>1249</v>
      </c>
      <c r="B377" s="332">
        <v>30</v>
      </c>
      <c r="C377" s="332"/>
      <c r="D377" s="333"/>
      <c r="E377" s="334"/>
      <c r="F377" s="359"/>
      <c r="G377" s="335"/>
      <c r="H377" s="336"/>
      <c r="I377" s="336"/>
      <c r="J377" s="335"/>
      <c r="K377" s="342"/>
      <c r="L377" s="342"/>
      <c r="M377" s="336"/>
      <c r="N377" s="336"/>
      <c r="O377" s="336"/>
      <c r="P377" s="336"/>
      <c r="Q377" s="342"/>
      <c r="R377" s="345"/>
      <c r="S377" s="345"/>
    </row>
    <row r="378" spans="1:19" ht="14.25">
      <c r="A378" s="337" t="s">
        <v>1250</v>
      </c>
      <c r="B378" s="332">
        <v>30</v>
      </c>
      <c r="C378" s="332"/>
      <c r="D378" s="333"/>
      <c r="E378" s="334"/>
      <c r="F378" s="359"/>
      <c r="G378" s="335"/>
      <c r="H378" s="336"/>
      <c r="I378" s="336"/>
      <c r="J378" s="335"/>
      <c r="K378" s="342"/>
      <c r="L378" s="342"/>
      <c r="M378" s="336"/>
      <c r="N378" s="336"/>
      <c r="O378" s="336"/>
      <c r="P378" s="336"/>
      <c r="Q378" s="342"/>
      <c r="R378" s="345"/>
      <c r="S378" s="345"/>
    </row>
    <row r="379" spans="1:19" ht="14.25">
      <c r="A379" s="337" t="s">
        <v>1251</v>
      </c>
      <c r="B379" s="332">
        <v>0</v>
      </c>
      <c r="C379" s="332">
        <v>298</v>
      </c>
      <c r="D379" s="333">
        <f t="shared" si="53"/>
        <v>-100</v>
      </c>
      <c r="E379" s="334">
        <v>1</v>
      </c>
      <c r="F379" s="359">
        <v>1</v>
      </c>
      <c r="G379" s="335">
        <v>0</v>
      </c>
      <c r="H379" s="336">
        <v>500</v>
      </c>
      <c r="I379" s="336"/>
      <c r="J379" s="335"/>
      <c r="K379" s="342"/>
      <c r="L379" s="342"/>
      <c r="M379" s="336"/>
      <c r="N379" s="336"/>
      <c r="O379" s="336"/>
      <c r="P379" s="336"/>
      <c r="Q379" s="342">
        <v>298</v>
      </c>
      <c r="R379" s="345"/>
      <c r="S379" s="345"/>
    </row>
    <row r="380" spans="1:19" ht="14.25">
      <c r="A380" s="337" t="s">
        <v>1252</v>
      </c>
      <c r="B380" s="332">
        <v>232</v>
      </c>
      <c r="C380" s="332">
        <v>298</v>
      </c>
      <c r="D380" s="333">
        <f t="shared" si="53"/>
        <v>-22.147651006711413</v>
      </c>
      <c r="E380" s="334">
        <v>0</v>
      </c>
      <c r="F380" s="359">
        <v>1</v>
      </c>
      <c r="G380" s="335">
        <v>-100</v>
      </c>
      <c r="H380" s="336">
        <v>500</v>
      </c>
      <c r="I380" s="336"/>
      <c r="J380" s="335"/>
      <c r="K380" s="342"/>
      <c r="L380" s="342"/>
      <c r="M380" s="336"/>
      <c r="N380" s="336"/>
      <c r="O380" s="336"/>
      <c r="P380" s="336"/>
      <c r="Q380" s="342">
        <v>298</v>
      </c>
      <c r="R380" s="345">
        <v>367</v>
      </c>
      <c r="S380" s="333">
        <f aca="true" t="shared" si="63" ref="S380:S383">Q380/R380*100-100</f>
        <v>-18.801089918256125</v>
      </c>
    </row>
    <row r="381" spans="1:19" ht="14.25">
      <c r="A381" s="331" t="s">
        <v>1253</v>
      </c>
      <c r="B381" s="332">
        <v>1000</v>
      </c>
      <c r="C381" s="332">
        <v>400</v>
      </c>
      <c r="D381" s="333">
        <f t="shared" si="53"/>
        <v>150</v>
      </c>
      <c r="E381" s="334">
        <v>385</v>
      </c>
      <c r="F381" s="359">
        <v>954</v>
      </c>
      <c r="G381" s="335">
        <v>-59.64360587002096</v>
      </c>
      <c r="H381" s="336"/>
      <c r="I381" s="336">
        <v>270000</v>
      </c>
      <c r="J381" s="335">
        <f aca="true" t="shared" si="64" ref="J381:J384">H381/I381*100-100</f>
        <v>-100</v>
      </c>
      <c r="K381" s="347">
        <v>94</v>
      </c>
      <c r="L381" s="341">
        <v>82</v>
      </c>
      <c r="M381" s="336"/>
      <c r="N381" s="336"/>
      <c r="O381" s="336"/>
      <c r="P381" s="336"/>
      <c r="Q381" s="342">
        <v>306</v>
      </c>
      <c r="R381" s="345">
        <v>340</v>
      </c>
      <c r="S381" s="333">
        <f t="shared" si="63"/>
        <v>-10</v>
      </c>
    </row>
    <row r="382" spans="1:19" ht="14.25">
      <c r="A382" s="337" t="s">
        <v>1254</v>
      </c>
      <c r="B382" s="332">
        <v>600</v>
      </c>
      <c r="C382" s="332">
        <v>385</v>
      </c>
      <c r="D382" s="333">
        <f t="shared" si="53"/>
        <v>55.844155844155864</v>
      </c>
      <c r="E382" s="334">
        <v>365</v>
      </c>
      <c r="F382" s="359">
        <v>811</v>
      </c>
      <c r="G382" s="335">
        <v>-54.99383477188656</v>
      </c>
      <c r="H382" s="336">
        <v>220000</v>
      </c>
      <c r="I382" s="336">
        <v>270000</v>
      </c>
      <c r="J382" s="335">
        <f t="shared" si="64"/>
        <v>-18.51851851851852</v>
      </c>
      <c r="K382" s="347">
        <v>79</v>
      </c>
      <c r="L382" s="341">
        <v>69</v>
      </c>
      <c r="M382" s="336"/>
      <c r="N382" s="336"/>
      <c r="O382" s="336"/>
      <c r="P382" s="336"/>
      <c r="Q382" s="342">
        <v>306</v>
      </c>
      <c r="R382" s="345">
        <v>340</v>
      </c>
      <c r="S382" s="333">
        <f t="shared" si="63"/>
        <v>-10</v>
      </c>
    </row>
    <row r="383" spans="1:19" ht="14.25">
      <c r="A383" s="337" t="s">
        <v>1201</v>
      </c>
      <c r="B383" s="332">
        <v>363</v>
      </c>
      <c r="C383" s="332">
        <v>217</v>
      </c>
      <c r="D383" s="333">
        <f t="shared" si="53"/>
        <v>67.2811059907834</v>
      </c>
      <c r="E383" s="334">
        <v>175</v>
      </c>
      <c r="F383" s="359">
        <v>193</v>
      </c>
      <c r="G383" s="335">
        <v>-9.32642487046632</v>
      </c>
      <c r="H383" s="336"/>
      <c r="I383" s="336"/>
      <c r="J383" s="335"/>
      <c r="K383" s="342"/>
      <c r="L383" s="342"/>
      <c r="M383" s="336"/>
      <c r="N383" s="336"/>
      <c r="O383" s="336"/>
      <c r="P383" s="336"/>
      <c r="Q383" s="342">
        <v>217</v>
      </c>
      <c r="R383" s="345">
        <v>300</v>
      </c>
      <c r="S383" s="333">
        <f t="shared" si="63"/>
        <v>-27.666666666666657</v>
      </c>
    </row>
    <row r="384" spans="1:19" ht="14.25">
      <c r="A384" s="337" t="s">
        <v>1255</v>
      </c>
      <c r="B384" s="332">
        <v>0</v>
      </c>
      <c r="C384" s="332">
        <v>0</v>
      </c>
      <c r="D384" s="333"/>
      <c r="E384" s="334">
        <v>80</v>
      </c>
      <c r="F384" s="359">
        <v>128</v>
      </c>
      <c r="G384" s="335">
        <v>-37.5</v>
      </c>
      <c r="H384" s="336">
        <v>220000</v>
      </c>
      <c r="I384" s="336">
        <v>270000</v>
      </c>
      <c r="J384" s="335">
        <f t="shared" si="64"/>
        <v>-18.51851851851852</v>
      </c>
      <c r="K384" s="342"/>
      <c r="L384" s="342"/>
      <c r="M384" s="336"/>
      <c r="N384" s="336"/>
      <c r="O384" s="336"/>
      <c r="P384" s="336"/>
      <c r="Q384" s="342"/>
      <c r="R384" s="345"/>
      <c r="S384" s="345"/>
    </row>
    <row r="385" spans="1:19" ht="14.25">
      <c r="A385" s="337" t="s">
        <v>1256</v>
      </c>
      <c r="B385" s="332">
        <v>0</v>
      </c>
      <c r="C385" s="332">
        <v>0</v>
      </c>
      <c r="D385" s="333"/>
      <c r="E385" s="334">
        <v>60</v>
      </c>
      <c r="F385" s="359">
        <v>173</v>
      </c>
      <c r="G385" s="335">
        <v>-65.3179190751445</v>
      </c>
      <c r="H385" s="336"/>
      <c r="I385" s="336"/>
      <c r="J385" s="335"/>
      <c r="K385" s="342"/>
      <c r="L385" s="342"/>
      <c r="M385" s="336"/>
      <c r="N385" s="336"/>
      <c r="O385" s="336"/>
      <c r="P385" s="336"/>
      <c r="Q385" s="342"/>
      <c r="R385" s="345">
        <v>40</v>
      </c>
      <c r="S385" s="333">
        <f>Q385/R385*100-100</f>
        <v>-100</v>
      </c>
    </row>
    <row r="386" spans="1:19" ht="14.25">
      <c r="A386" s="337" t="s">
        <v>1257</v>
      </c>
      <c r="B386" s="332">
        <v>237</v>
      </c>
      <c r="C386" s="332">
        <v>168</v>
      </c>
      <c r="D386" s="333">
        <f t="shared" si="53"/>
        <v>41.071428571428584</v>
      </c>
      <c r="E386" s="334">
        <v>50</v>
      </c>
      <c r="F386" s="359">
        <v>318</v>
      </c>
      <c r="G386" s="335">
        <v>-84.27672955974843</v>
      </c>
      <c r="H386" s="336"/>
      <c r="I386" s="336"/>
      <c r="J386" s="335"/>
      <c r="K386" s="347">
        <v>79</v>
      </c>
      <c r="L386" s="341">
        <v>69</v>
      </c>
      <c r="M386" s="336"/>
      <c r="N386" s="336"/>
      <c r="O386" s="336"/>
      <c r="P386" s="336"/>
      <c r="Q386" s="342">
        <v>89</v>
      </c>
      <c r="R386" s="345"/>
      <c r="S386" s="345"/>
    </row>
    <row r="387" spans="1:19" ht="14.25">
      <c r="A387" s="337" t="s">
        <v>1258</v>
      </c>
      <c r="B387" s="332">
        <v>0</v>
      </c>
      <c r="C387" s="332">
        <v>15</v>
      </c>
      <c r="D387" s="333">
        <f t="shared" si="53"/>
        <v>-100</v>
      </c>
      <c r="E387" s="334"/>
      <c r="F387" s="359"/>
      <c r="G387" s="335"/>
      <c r="H387" s="336"/>
      <c r="I387" s="336"/>
      <c r="J387" s="335"/>
      <c r="K387" s="347">
        <v>15</v>
      </c>
      <c r="L387" s="341">
        <v>13</v>
      </c>
      <c r="M387" s="336"/>
      <c r="N387" s="336"/>
      <c r="O387" s="336"/>
      <c r="P387" s="336"/>
      <c r="Q387" s="342"/>
      <c r="R387" s="345"/>
      <c r="S387" s="345"/>
    </row>
    <row r="388" spans="1:19" ht="14.25">
      <c r="A388" s="337" t="s">
        <v>1259</v>
      </c>
      <c r="B388" s="332">
        <v>0</v>
      </c>
      <c r="C388" s="332">
        <v>15</v>
      </c>
      <c r="D388" s="333">
        <f t="shared" si="53"/>
        <v>-100</v>
      </c>
      <c r="E388" s="334"/>
      <c r="F388" s="359"/>
      <c r="G388" s="335"/>
      <c r="H388" s="336"/>
      <c r="I388" s="336"/>
      <c r="J388" s="335"/>
      <c r="K388" s="347">
        <v>15</v>
      </c>
      <c r="L388" s="341">
        <v>13</v>
      </c>
      <c r="M388" s="336"/>
      <c r="N388" s="336"/>
      <c r="O388" s="336"/>
      <c r="P388" s="336"/>
      <c r="Q388" s="342"/>
      <c r="R388" s="345"/>
      <c r="S388" s="345"/>
    </row>
    <row r="389" spans="1:19" ht="14.25">
      <c r="A389" s="337" t="s">
        <v>1260</v>
      </c>
      <c r="B389" s="332">
        <v>400</v>
      </c>
      <c r="C389" s="332">
        <v>0</v>
      </c>
      <c r="D389" s="333"/>
      <c r="E389" s="334">
        <v>20</v>
      </c>
      <c r="F389" s="359">
        <v>143</v>
      </c>
      <c r="G389" s="335">
        <v>-86.01398601398601</v>
      </c>
      <c r="H389" s="336"/>
      <c r="I389" s="336"/>
      <c r="J389" s="335"/>
      <c r="K389" s="342"/>
      <c r="L389" s="342"/>
      <c r="M389" s="336"/>
      <c r="N389" s="336"/>
      <c r="O389" s="336"/>
      <c r="P389" s="336"/>
      <c r="Q389" s="342"/>
      <c r="R389" s="345"/>
      <c r="S389" s="345"/>
    </row>
    <row r="390" spans="1:19" ht="14.25">
      <c r="A390" s="337" t="s">
        <v>1261</v>
      </c>
      <c r="B390" s="332">
        <v>400</v>
      </c>
      <c r="C390" s="332"/>
      <c r="D390" s="333"/>
      <c r="E390" s="334"/>
      <c r="F390" s="359"/>
      <c r="G390" s="335"/>
      <c r="H390" s="336"/>
      <c r="I390" s="336"/>
      <c r="J390" s="335"/>
      <c r="K390" s="342"/>
      <c r="L390" s="342"/>
      <c r="M390" s="336"/>
      <c r="N390" s="336"/>
      <c r="O390" s="336"/>
      <c r="P390" s="336"/>
      <c r="Q390" s="342"/>
      <c r="R390" s="345"/>
      <c r="S390" s="345"/>
    </row>
    <row r="391" spans="1:19" ht="14.25">
      <c r="A391" s="337" t="s">
        <v>1262</v>
      </c>
      <c r="B391" s="332">
        <v>0</v>
      </c>
      <c r="C391" s="332">
        <v>0</v>
      </c>
      <c r="D391" s="333"/>
      <c r="E391" s="334">
        <v>20</v>
      </c>
      <c r="F391" s="359">
        <v>143</v>
      </c>
      <c r="G391" s="335">
        <v>-86.01398601398601</v>
      </c>
      <c r="H391" s="336"/>
      <c r="I391" s="336"/>
      <c r="J391" s="335"/>
      <c r="K391" s="342"/>
      <c r="L391" s="342"/>
      <c r="M391" s="336"/>
      <c r="N391" s="336"/>
      <c r="O391" s="336"/>
      <c r="P391" s="336"/>
      <c r="Q391" s="342"/>
      <c r="R391" s="345"/>
      <c r="S391" s="345"/>
    </row>
    <row r="392" spans="1:19" ht="14.25">
      <c r="A392" s="331" t="s">
        <v>1263</v>
      </c>
      <c r="B392" s="332">
        <v>45500</v>
      </c>
      <c r="C392" s="332">
        <v>22059</v>
      </c>
      <c r="D392" s="333">
        <f aca="true" t="shared" si="65" ref="D392:D452">B392/C392*100-100</f>
        <v>106.2650165465343</v>
      </c>
      <c r="E392" s="334">
        <v>60055</v>
      </c>
      <c r="F392" s="359">
        <v>55387</v>
      </c>
      <c r="G392" s="335">
        <v>8.42797046238287</v>
      </c>
      <c r="H392" s="336">
        <v>15000</v>
      </c>
      <c r="I392" s="336">
        <v>7000</v>
      </c>
      <c r="J392" s="335">
        <f>H392/I392*100-100</f>
        <v>114.28571428571428</v>
      </c>
      <c r="K392" s="347">
        <v>4761</v>
      </c>
      <c r="L392" s="341">
        <v>4100</v>
      </c>
      <c r="M392" s="336"/>
      <c r="N392" s="336"/>
      <c r="O392" s="336"/>
      <c r="P392" s="336"/>
      <c r="Q392" s="342">
        <v>17298</v>
      </c>
      <c r="R392" s="345">
        <v>11961</v>
      </c>
      <c r="S392" s="333">
        <f aca="true" t="shared" si="66" ref="S392:S394">Q392/R392*100-100</f>
        <v>44.620015048908954</v>
      </c>
    </row>
    <row r="393" spans="1:19" ht="14.25">
      <c r="A393" s="337" t="s">
        <v>1264</v>
      </c>
      <c r="B393" s="332">
        <v>16000</v>
      </c>
      <c r="C393" s="332">
        <v>17000</v>
      </c>
      <c r="D393" s="333">
        <f t="shared" si="65"/>
        <v>-5.882352941176478</v>
      </c>
      <c r="E393" s="334">
        <v>2500</v>
      </c>
      <c r="F393" s="359">
        <v>1826</v>
      </c>
      <c r="G393" s="335">
        <v>36.91128148959474</v>
      </c>
      <c r="H393" s="336"/>
      <c r="I393" s="336"/>
      <c r="J393" s="335"/>
      <c r="K393" s="342"/>
      <c r="L393" s="342">
        <v>3500</v>
      </c>
      <c r="M393" s="336"/>
      <c r="N393" s="336"/>
      <c r="O393" s="336"/>
      <c r="P393" s="336"/>
      <c r="Q393" s="342">
        <v>17000</v>
      </c>
      <c r="R393" s="345">
        <v>11800</v>
      </c>
      <c r="S393" s="333">
        <f t="shared" si="66"/>
        <v>44.067796610169495</v>
      </c>
    </row>
    <row r="394" spans="1:19" ht="14.25">
      <c r="A394" s="337" t="s">
        <v>1265</v>
      </c>
      <c r="B394" s="332">
        <v>16000</v>
      </c>
      <c r="C394" s="332">
        <v>17000</v>
      </c>
      <c r="D394" s="333">
        <f t="shared" si="65"/>
        <v>-5.882352941176478</v>
      </c>
      <c r="E394" s="334">
        <v>2500</v>
      </c>
      <c r="F394" s="359">
        <v>1826</v>
      </c>
      <c r="G394" s="335">
        <v>36.91128148959474</v>
      </c>
      <c r="H394" s="336"/>
      <c r="I394" s="336"/>
      <c r="J394" s="335"/>
      <c r="K394" s="342"/>
      <c r="L394" s="342">
        <v>3500</v>
      </c>
      <c r="M394" s="336"/>
      <c r="N394" s="336"/>
      <c r="O394" s="336"/>
      <c r="P394" s="336"/>
      <c r="Q394" s="342">
        <v>17000</v>
      </c>
      <c r="R394" s="345">
        <v>11800</v>
      </c>
      <c r="S394" s="333">
        <f t="shared" si="66"/>
        <v>44.067796610169495</v>
      </c>
    </row>
    <row r="395" spans="1:19" ht="14.25">
      <c r="A395" s="337" t="s">
        <v>1266</v>
      </c>
      <c r="B395" s="332">
        <v>330</v>
      </c>
      <c r="C395" s="332"/>
      <c r="D395" s="333"/>
      <c r="E395" s="334"/>
      <c r="F395" s="359"/>
      <c r="G395" s="335"/>
      <c r="H395" s="336"/>
      <c r="I395" s="336"/>
      <c r="J395" s="335"/>
      <c r="K395" s="342"/>
      <c r="L395" s="342"/>
      <c r="M395" s="336"/>
      <c r="N395" s="336"/>
      <c r="O395" s="336"/>
      <c r="P395" s="336"/>
      <c r="Q395" s="342"/>
      <c r="R395" s="345"/>
      <c r="S395" s="333"/>
    </row>
    <row r="396" spans="1:19" ht="14.25">
      <c r="A396" s="337" t="s">
        <v>1267</v>
      </c>
      <c r="B396" s="332">
        <v>330</v>
      </c>
      <c r="C396" s="332"/>
      <c r="D396" s="333"/>
      <c r="E396" s="334"/>
      <c r="F396" s="359"/>
      <c r="G396" s="335"/>
      <c r="H396" s="336"/>
      <c r="I396" s="336"/>
      <c r="J396" s="335"/>
      <c r="K396" s="342"/>
      <c r="L396" s="342"/>
      <c r="M396" s="336"/>
      <c r="N396" s="336"/>
      <c r="O396" s="336"/>
      <c r="P396" s="336"/>
      <c r="Q396" s="342"/>
      <c r="R396" s="345"/>
      <c r="S396" s="333"/>
    </row>
    <row r="397" spans="1:19" ht="14.25">
      <c r="A397" s="337" t="s">
        <v>1268</v>
      </c>
      <c r="B397" s="332">
        <v>290</v>
      </c>
      <c r="C397" s="332">
        <v>344</v>
      </c>
      <c r="D397" s="333">
        <f t="shared" si="65"/>
        <v>-15.697674418604649</v>
      </c>
      <c r="E397" s="334">
        <v>75</v>
      </c>
      <c r="F397" s="359">
        <v>73</v>
      </c>
      <c r="G397" s="335">
        <v>2.73972602739726</v>
      </c>
      <c r="H397" s="336"/>
      <c r="I397" s="336"/>
      <c r="J397" s="335"/>
      <c r="K397" s="347">
        <v>46</v>
      </c>
      <c r="L397" s="341"/>
      <c r="M397" s="336"/>
      <c r="N397" s="336"/>
      <c r="O397" s="336"/>
      <c r="P397" s="336"/>
      <c r="Q397" s="342">
        <v>298</v>
      </c>
      <c r="R397" s="345">
        <v>161</v>
      </c>
      <c r="S397" s="333">
        <f aca="true" t="shared" si="67" ref="S397:S400">Q397/R397*100-100</f>
        <v>85.09316770186334</v>
      </c>
    </row>
    <row r="398" spans="1:19" ht="14.25">
      <c r="A398" s="337" t="s">
        <v>1201</v>
      </c>
      <c r="B398" s="332">
        <v>170</v>
      </c>
      <c r="C398" s="332">
        <v>212</v>
      </c>
      <c r="D398" s="333">
        <f t="shared" si="65"/>
        <v>-19.811320754716974</v>
      </c>
      <c r="E398" s="334"/>
      <c r="F398" s="359"/>
      <c r="G398" s="335"/>
      <c r="H398" s="336"/>
      <c r="I398" s="336"/>
      <c r="J398" s="335"/>
      <c r="K398" s="342"/>
      <c r="L398" s="342"/>
      <c r="M398" s="336"/>
      <c r="N398" s="336"/>
      <c r="O398" s="336"/>
      <c r="P398" s="336"/>
      <c r="Q398" s="342">
        <v>212</v>
      </c>
      <c r="R398" s="345">
        <v>119</v>
      </c>
      <c r="S398" s="333">
        <f t="shared" si="67"/>
        <v>78.1512605042017</v>
      </c>
    </row>
    <row r="399" spans="1:19" ht="14.25">
      <c r="A399" s="337" t="s">
        <v>1202</v>
      </c>
      <c r="B399" s="332">
        <v>0</v>
      </c>
      <c r="C399" s="332">
        <v>0</v>
      </c>
      <c r="D399" s="333"/>
      <c r="E399" s="334">
        <v>5</v>
      </c>
      <c r="F399" s="359">
        <v>3</v>
      </c>
      <c r="G399" s="335">
        <v>66.66666666666666</v>
      </c>
      <c r="H399" s="336"/>
      <c r="I399" s="336"/>
      <c r="J399" s="335"/>
      <c r="K399" s="342"/>
      <c r="L399" s="342"/>
      <c r="M399" s="336"/>
      <c r="N399" s="336"/>
      <c r="O399" s="336"/>
      <c r="P399" s="336"/>
      <c r="Q399" s="342"/>
      <c r="R399" s="345"/>
      <c r="S399" s="345"/>
    </row>
    <row r="400" spans="1:19" ht="14.25">
      <c r="A400" s="337" t="s">
        <v>1269</v>
      </c>
      <c r="B400" s="332">
        <v>120</v>
      </c>
      <c r="C400" s="332">
        <v>86</v>
      </c>
      <c r="D400" s="333">
        <f t="shared" si="65"/>
        <v>39.534883720930225</v>
      </c>
      <c r="E400" s="334">
        <v>70</v>
      </c>
      <c r="F400" s="359">
        <v>63</v>
      </c>
      <c r="G400" s="335">
        <v>11.11111111111111</v>
      </c>
      <c r="H400" s="336"/>
      <c r="I400" s="336"/>
      <c r="J400" s="335"/>
      <c r="K400" s="342"/>
      <c r="L400" s="342"/>
      <c r="M400" s="336"/>
      <c r="N400" s="336"/>
      <c r="O400" s="336"/>
      <c r="P400" s="336"/>
      <c r="Q400" s="342">
        <v>86</v>
      </c>
      <c r="R400" s="345">
        <v>42</v>
      </c>
      <c r="S400" s="333">
        <f t="shared" si="67"/>
        <v>104.76190476190476</v>
      </c>
    </row>
    <row r="401" spans="1:19" ht="14.25">
      <c r="A401" s="337" t="s">
        <v>1270</v>
      </c>
      <c r="B401" s="332">
        <v>0</v>
      </c>
      <c r="C401" s="332">
        <v>46</v>
      </c>
      <c r="D401" s="333">
        <f t="shared" si="65"/>
        <v>-100</v>
      </c>
      <c r="E401" s="334">
        <v>0</v>
      </c>
      <c r="F401" s="359">
        <v>7</v>
      </c>
      <c r="G401" s="335">
        <v>-100</v>
      </c>
      <c r="H401" s="336"/>
      <c r="I401" s="336"/>
      <c r="J401" s="335"/>
      <c r="K401" s="347">
        <v>46</v>
      </c>
      <c r="L401" s="341"/>
      <c r="M401" s="336"/>
      <c r="N401" s="336"/>
      <c r="O401" s="336"/>
      <c r="P401" s="336"/>
      <c r="Q401" s="342"/>
      <c r="R401" s="345"/>
      <c r="S401" s="345"/>
    </row>
    <row r="402" spans="1:19" ht="14.25">
      <c r="A402" s="337" t="s">
        <v>1271</v>
      </c>
      <c r="B402" s="332">
        <v>4150</v>
      </c>
      <c r="C402" s="332">
        <v>4600</v>
      </c>
      <c r="D402" s="333">
        <f t="shared" si="65"/>
        <v>-9.782608695652172</v>
      </c>
      <c r="E402" s="334">
        <v>6200</v>
      </c>
      <c r="F402" s="359">
        <v>5376</v>
      </c>
      <c r="G402" s="335">
        <v>15.327380952380953</v>
      </c>
      <c r="H402" s="336">
        <v>15000</v>
      </c>
      <c r="I402" s="336">
        <v>7000</v>
      </c>
      <c r="J402" s="335">
        <f aca="true" t="shared" si="68" ref="J402:J405">H402/I402*100-100</f>
        <v>114.28571428571428</v>
      </c>
      <c r="K402" s="347">
        <v>4600</v>
      </c>
      <c r="L402" s="341">
        <v>600</v>
      </c>
      <c r="M402" s="336"/>
      <c r="N402" s="336"/>
      <c r="O402" s="336"/>
      <c r="P402" s="336"/>
      <c r="Q402" s="342"/>
      <c r="R402" s="345"/>
      <c r="S402" s="345"/>
    </row>
    <row r="403" spans="1:19" ht="14.25">
      <c r="A403" s="337" t="s">
        <v>1272</v>
      </c>
      <c r="B403" s="332">
        <v>0</v>
      </c>
      <c r="C403" s="332">
        <v>0</v>
      </c>
      <c r="D403" s="333"/>
      <c r="E403" s="334">
        <v>800</v>
      </c>
      <c r="F403" s="359">
        <v>256</v>
      </c>
      <c r="G403" s="335">
        <v>212.5</v>
      </c>
      <c r="H403" s="336"/>
      <c r="I403" s="336"/>
      <c r="J403" s="335"/>
      <c r="K403" s="342"/>
      <c r="L403" s="342"/>
      <c r="M403" s="336"/>
      <c r="N403" s="336"/>
      <c r="O403" s="336"/>
      <c r="P403" s="336"/>
      <c r="Q403" s="342"/>
      <c r="R403" s="345"/>
      <c r="S403" s="345"/>
    </row>
    <row r="404" spans="1:19" ht="14.25">
      <c r="A404" s="337" t="s">
        <v>1273</v>
      </c>
      <c r="B404" s="332">
        <v>0</v>
      </c>
      <c r="C404" s="332">
        <v>0</v>
      </c>
      <c r="D404" s="333"/>
      <c r="E404" s="334">
        <v>3600</v>
      </c>
      <c r="F404" s="359">
        <v>3461</v>
      </c>
      <c r="G404" s="335">
        <v>4.016180294712511</v>
      </c>
      <c r="H404" s="336">
        <v>15000</v>
      </c>
      <c r="I404" s="336">
        <v>6500</v>
      </c>
      <c r="J404" s="335">
        <f t="shared" si="68"/>
        <v>130.76923076923075</v>
      </c>
      <c r="K404" s="342"/>
      <c r="L404" s="342"/>
      <c r="M404" s="336"/>
      <c r="N404" s="336"/>
      <c r="O404" s="336"/>
      <c r="P404" s="336"/>
      <c r="Q404" s="342"/>
      <c r="R404" s="345"/>
      <c r="S404" s="345"/>
    </row>
    <row r="405" spans="1:19" ht="14.25">
      <c r="A405" s="337" t="s">
        <v>1274</v>
      </c>
      <c r="B405" s="332">
        <v>4150</v>
      </c>
      <c r="C405" s="332">
        <v>4600</v>
      </c>
      <c r="D405" s="333">
        <f t="shared" si="65"/>
        <v>-9.782608695652172</v>
      </c>
      <c r="E405" s="334">
        <v>1800</v>
      </c>
      <c r="F405" s="359">
        <v>1659</v>
      </c>
      <c r="G405" s="335">
        <v>8.499095840867993</v>
      </c>
      <c r="H405" s="336">
        <v>5000</v>
      </c>
      <c r="I405" s="336">
        <v>500</v>
      </c>
      <c r="J405" s="335">
        <f t="shared" si="68"/>
        <v>900</v>
      </c>
      <c r="K405" s="347">
        <v>4600</v>
      </c>
      <c r="L405" s="341">
        <v>600</v>
      </c>
      <c r="M405" s="336"/>
      <c r="N405" s="336"/>
      <c r="O405" s="336"/>
      <c r="P405" s="336"/>
      <c r="Q405" s="342"/>
      <c r="R405" s="345"/>
      <c r="S405" s="345"/>
    </row>
    <row r="406" spans="1:19" ht="14.25">
      <c r="A406" s="337" t="s">
        <v>1275</v>
      </c>
      <c r="B406" s="332">
        <v>24700</v>
      </c>
      <c r="C406" s="332">
        <v>115</v>
      </c>
      <c r="D406" s="333">
        <f t="shared" si="65"/>
        <v>21378.26086956522</v>
      </c>
      <c r="E406" s="334">
        <v>51280</v>
      </c>
      <c r="F406" s="359">
        <v>48112</v>
      </c>
      <c r="G406" s="335">
        <v>6.58463584968407</v>
      </c>
      <c r="H406" s="336"/>
      <c r="I406" s="336"/>
      <c r="J406" s="335"/>
      <c r="K406" s="347">
        <v>115</v>
      </c>
      <c r="L406" s="341"/>
      <c r="M406" s="336"/>
      <c r="N406" s="336"/>
      <c r="O406" s="336"/>
      <c r="P406" s="336"/>
      <c r="Q406" s="342"/>
      <c r="R406" s="345"/>
      <c r="S406" s="345"/>
    </row>
    <row r="407" spans="1:19" ht="14.25">
      <c r="A407" s="337" t="s">
        <v>1276</v>
      </c>
      <c r="B407" s="332">
        <v>0</v>
      </c>
      <c r="C407" s="332">
        <v>0</v>
      </c>
      <c r="D407" s="333"/>
      <c r="E407" s="334">
        <v>280</v>
      </c>
      <c r="F407" s="359">
        <v>272</v>
      </c>
      <c r="G407" s="335">
        <v>2.941176470588235</v>
      </c>
      <c r="H407" s="336"/>
      <c r="I407" s="336"/>
      <c r="J407" s="335"/>
      <c r="K407" s="342"/>
      <c r="L407" s="342"/>
      <c r="M407" s="336"/>
      <c r="N407" s="336"/>
      <c r="O407" s="336"/>
      <c r="P407" s="336"/>
      <c r="Q407" s="342"/>
      <c r="R407" s="345"/>
      <c r="S407" s="345"/>
    </row>
    <row r="408" spans="1:19" ht="14.25">
      <c r="A408" s="337" t="s">
        <v>1277</v>
      </c>
      <c r="B408" s="332">
        <v>24730</v>
      </c>
      <c r="C408" s="332">
        <v>115</v>
      </c>
      <c r="D408" s="333">
        <f t="shared" si="65"/>
        <v>21404.347826086956</v>
      </c>
      <c r="E408" s="334">
        <v>51000</v>
      </c>
      <c r="F408" s="359">
        <v>47840</v>
      </c>
      <c r="G408" s="335">
        <v>6.605351170568562</v>
      </c>
      <c r="H408" s="336"/>
      <c r="I408" s="336"/>
      <c r="J408" s="335"/>
      <c r="K408" s="347">
        <v>115</v>
      </c>
      <c r="L408" s="341"/>
      <c r="M408" s="336"/>
      <c r="N408" s="336"/>
      <c r="O408" s="336"/>
      <c r="P408" s="336"/>
      <c r="Q408" s="342"/>
      <c r="R408" s="345"/>
      <c r="S408" s="345"/>
    </row>
    <row r="409" spans="1:19" ht="14.25">
      <c r="A409" s="331" t="s">
        <v>41</v>
      </c>
      <c r="B409" s="332">
        <v>455</v>
      </c>
      <c r="C409" s="332">
        <v>319</v>
      </c>
      <c r="D409" s="333">
        <f t="shared" si="65"/>
        <v>42.63322884012538</v>
      </c>
      <c r="E409" s="334">
        <v>11542</v>
      </c>
      <c r="F409" s="359">
        <v>11522</v>
      </c>
      <c r="G409" s="335">
        <v>0.17358097552508245</v>
      </c>
      <c r="H409" s="336">
        <v>700</v>
      </c>
      <c r="I409" s="336">
        <v>300</v>
      </c>
      <c r="J409" s="335">
        <f aca="true" t="shared" si="69" ref="J409:J412">H409/I409*100-100</f>
        <v>133.33333333333334</v>
      </c>
      <c r="K409" s="347">
        <v>22</v>
      </c>
      <c r="L409" s="341">
        <v>19</v>
      </c>
      <c r="M409" s="336"/>
      <c r="N409" s="336"/>
      <c r="O409" s="336"/>
      <c r="P409" s="336"/>
      <c r="Q409" s="342">
        <v>297</v>
      </c>
      <c r="R409" s="345">
        <v>502</v>
      </c>
      <c r="S409" s="333">
        <f aca="true" t="shared" si="70" ref="S409:S412">Q409/R409*100-100</f>
        <v>-40.83665338645418</v>
      </c>
    </row>
    <row r="410" spans="1:19" ht="14.25">
      <c r="A410" s="337" t="s">
        <v>1278</v>
      </c>
      <c r="B410" s="332">
        <v>455</v>
      </c>
      <c r="C410" s="332">
        <v>314</v>
      </c>
      <c r="D410" s="333">
        <f t="shared" si="65"/>
        <v>44.90445859872611</v>
      </c>
      <c r="E410" s="334">
        <v>360</v>
      </c>
      <c r="F410" s="359">
        <v>360</v>
      </c>
      <c r="G410" s="335">
        <v>0</v>
      </c>
      <c r="H410" s="336">
        <v>500</v>
      </c>
      <c r="I410" s="336">
        <v>300</v>
      </c>
      <c r="J410" s="335">
        <f t="shared" si="69"/>
        <v>66.66666666666669</v>
      </c>
      <c r="K410" s="347">
        <v>17</v>
      </c>
      <c r="L410" s="341">
        <v>15</v>
      </c>
      <c r="M410" s="336"/>
      <c r="N410" s="336"/>
      <c r="O410" s="336"/>
      <c r="P410" s="336"/>
      <c r="Q410" s="342">
        <v>297</v>
      </c>
      <c r="R410" s="345">
        <v>202</v>
      </c>
      <c r="S410" s="333">
        <f t="shared" si="70"/>
        <v>47.02970297029702</v>
      </c>
    </row>
    <row r="411" spans="1:19" ht="14.25">
      <c r="A411" s="337" t="s">
        <v>1279</v>
      </c>
      <c r="B411" s="332">
        <v>142</v>
      </c>
      <c r="C411" s="332">
        <v>123</v>
      </c>
      <c r="D411" s="333">
        <f t="shared" si="65"/>
        <v>15.44715447154472</v>
      </c>
      <c r="E411" s="334"/>
      <c r="F411" s="359"/>
      <c r="G411" s="335"/>
      <c r="H411" s="336"/>
      <c r="I411" s="336"/>
      <c r="J411" s="335"/>
      <c r="K411" s="342"/>
      <c r="L411" s="342"/>
      <c r="M411" s="336"/>
      <c r="N411" s="336"/>
      <c r="O411" s="336"/>
      <c r="P411" s="336"/>
      <c r="Q411" s="342">
        <v>123</v>
      </c>
      <c r="R411" s="345">
        <v>74</v>
      </c>
      <c r="S411" s="333">
        <f t="shared" si="70"/>
        <v>66.2162162162162</v>
      </c>
    </row>
    <row r="412" spans="1:19" ht="14.25">
      <c r="A412" s="337" t="s">
        <v>1280</v>
      </c>
      <c r="B412" s="332">
        <v>313</v>
      </c>
      <c r="C412" s="332">
        <v>191</v>
      </c>
      <c r="D412" s="333">
        <f t="shared" si="65"/>
        <v>63.87434554973822</v>
      </c>
      <c r="E412" s="334">
        <v>360</v>
      </c>
      <c r="F412" s="359">
        <v>360</v>
      </c>
      <c r="G412" s="335">
        <v>0</v>
      </c>
      <c r="H412" s="336">
        <v>500</v>
      </c>
      <c r="I412" s="336">
        <v>300</v>
      </c>
      <c r="J412" s="335">
        <f t="shared" si="69"/>
        <v>66.66666666666669</v>
      </c>
      <c r="K412" s="347">
        <v>17</v>
      </c>
      <c r="L412" s="341">
        <v>15</v>
      </c>
      <c r="M412" s="336"/>
      <c r="N412" s="336"/>
      <c r="O412" s="336"/>
      <c r="P412" s="336"/>
      <c r="Q412" s="342">
        <v>174</v>
      </c>
      <c r="R412" s="345">
        <v>128</v>
      </c>
      <c r="S412" s="333">
        <f t="shared" si="70"/>
        <v>35.9375</v>
      </c>
    </row>
    <row r="413" spans="1:19" ht="14.25">
      <c r="A413" s="337" t="s">
        <v>1281</v>
      </c>
      <c r="B413" s="332">
        <v>0</v>
      </c>
      <c r="C413" s="332">
        <v>0</v>
      </c>
      <c r="D413" s="333"/>
      <c r="E413" s="334">
        <v>50</v>
      </c>
      <c r="F413" s="359">
        <v>43</v>
      </c>
      <c r="G413" s="335">
        <v>16.27906976744186</v>
      </c>
      <c r="H413" s="336"/>
      <c r="I413" s="336"/>
      <c r="J413" s="335"/>
      <c r="K413" s="342"/>
      <c r="L413" s="342"/>
      <c r="M413" s="336"/>
      <c r="N413" s="336"/>
      <c r="O413" s="336"/>
      <c r="P413" s="336"/>
      <c r="Q413" s="342"/>
      <c r="R413" s="345"/>
      <c r="S413" s="345"/>
    </row>
    <row r="414" spans="1:19" ht="14.25">
      <c r="A414" s="337" t="s">
        <v>1282</v>
      </c>
      <c r="B414" s="332">
        <v>0</v>
      </c>
      <c r="C414" s="332">
        <v>0</v>
      </c>
      <c r="D414" s="333"/>
      <c r="E414" s="334">
        <v>50</v>
      </c>
      <c r="F414" s="359">
        <v>43</v>
      </c>
      <c r="G414" s="335">
        <v>16.27906976744186</v>
      </c>
      <c r="H414" s="336"/>
      <c r="I414" s="336"/>
      <c r="J414" s="335"/>
      <c r="K414" s="342"/>
      <c r="L414" s="342"/>
      <c r="M414" s="336"/>
      <c r="N414" s="336"/>
      <c r="O414" s="336"/>
      <c r="P414" s="336"/>
      <c r="Q414" s="342"/>
      <c r="R414" s="345"/>
      <c r="S414" s="345"/>
    </row>
    <row r="415" spans="1:19" ht="14.25">
      <c r="A415" s="337" t="s">
        <v>1283</v>
      </c>
      <c r="B415" s="332">
        <v>0</v>
      </c>
      <c r="C415" s="332">
        <v>5</v>
      </c>
      <c r="D415" s="333">
        <f t="shared" si="65"/>
        <v>-100</v>
      </c>
      <c r="E415" s="334">
        <v>10000</v>
      </c>
      <c r="F415" s="359">
        <v>10000</v>
      </c>
      <c r="G415" s="335">
        <v>0</v>
      </c>
      <c r="H415" s="336">
        <v>200</v>
      </c>
      <c r="I415" s="336"/>
      <c r="J415" s="335"/>
      <c r="K415" s="347">
        <v>5</v>
      </c>
      <c r="L415" s="341">
        <v>4</v>
      </c>
      <c r="M415" s="336"/>
      <c r="N415" s="336"/>
      <c r="O415" s="336"/>
      <c r="P415" s="336"/>
      <c r="Q415" s="342"/>
      <c r="R415" s="345"/>
      <c r="S415" s="345"/>
    </row>
    <row r="416" spans="1:19" ht="14.25">
      <c r="A416" s="337" t="s">
        <v>1284</v>
      </c>
      <c r="B416" s="332">
        <v>0</v>
      </c>
      <c r="C416" s="332">
        <v>5</v>
      </c>
      <c r="D416" s="333">
        <f t="shared" si="65"/>
        <v>-100</v>
      </c>
      <c r="E416" s="334">
        <v>10000</v>
      </c>
      <c r="F416" s="359">
        <v>10000</v>
      </c>
      <c r="G416" s="335">
        <v>0</v>
      </c>
      <c r="H416" s="336">
        <v>200</v>
      </c>
      <c r="I416" s="336"/>
      <c r="J416" s="335"/>
      <c r="K416" s="347">
        <v>5</v>
      </c>
      <c r="L416" s="341">
        <v>4</v>
      </c>
      <c r="M416" s="336"/>
      <c r="N416" s="336"/>
      <c r="O416" s="336"/>
      <c r="P416" s="336"/>
      <c r="Q416" s="342"/>
      <c r="R416" s="345"/>
      <c r="S416" s="345"/>
    </row>
    <row r="417" spans="1:19" ht="14.25">
      <c r="A417" s="337" t="s">
        <v>1285</v>
      </c>
      <c r="B417" s="332">
        <v>0</v>
      </c>
      <c r="C417" s="332">
        <v>0</v>
      </c>
      <c r="D417" s="333"/>
      <c r="E417" s="334">
        <v>1132</v>
      </c>
      <c r="F417" s="359">
        <v>1119</v>
      </c>
      <c r="G417" s="335">
        <v>1.161751563896336</v>
      </c>
      <c r="H417" s="336"/>
      <c r="I417" s="336"/>
      <c r="J417" s="335"/>
      <c r="K417" s="342"/>
      <c r="L417" s="342"/>
      <c r="M417" s="336"/>
      <c r="N417" s="336"/>
      <c r="O417" s="336"/>
      <c r="P417" s="336"/>
      <c r="Q417" s="342"/>
      <c r="R417" s="345">
        <v>300</v>
      </c>
      <c r="S417" s="333">
        <f aca="true" t="shared" si="71" ref="S417:S422">Q417/R417*100-100</f>
        <v>-100</v>
      </c>
    </row>
    <row r="418" spans="1:19" ht="14.25">
      <c r="A418" s="337" t="s">
        <v>1286</v>
      </c>
      <c r="B418" s="332">
        <v>0</v>
      </c>
      <c r="C418" s="332">
        <v>0</v>
      </c>
      <c r="D418" s="333"/>
      <c r="E418" s="334">
        <v>132</v>
      </c>
      <c r="F418" s="359">
        <v>132</v>
      </c>
      <c r="G418" s="335">
        <v>0</v>
      </c>
      <c r="H418" s="336"/>
      <c r="I418" s="336"/>
      <c r="J418" s="335"/>
      <c r="K418" s="342"/>
      <c r="L418" s="342"/>
      <c r="M418" s="336"/>
      <c r="N418" s="336"/>
      <c r="O418" s="336"/>
      <c r="P418" s="336"/>
      <c r="Q418" s="342"/>
      <c r="R418" s="345"/>
      <c r="S418" s="345"/>
    </row>
    <row r="419" spans="1:19" ht="14.25">
      <c r="A419" s="337" t="s">
        <v>1287</v>
      </c>
      <c r="B419" s="332">
        <v>0</v>
      </c>
      <c r="C419" s="332">
        <v>0</v>
      </c>
      <c r="D419" s="333"/>
      <c r="E419" s="334">
        <v>1000</v>
      </c>
      <c r="F419" s="359">
        <v>987</v>
      </c>
      <c r="G419" s="335">
        <v>1.3171225937183384</v>
      </c>
      <c r="H419" s="336"/>
      <c r="I419" s="336"/>
      <c r="J419" s="335"/>
      <c r="K419" s="342"/>
      <c r="L419" s="342"/>
      <c r="M419" s="336"/>
      <c r="N419" s="336"/>
      <c r="O419" s="336"/>
      <c r="P419" s="336"/>
      <c r="Q419" s="342"/>
      <c r="R419" s="345">
        <v>300</v>
      </c>
      <c r="S419" s="333">
        <f t="shared" si="71"/>
        <v>-100</v>
      </c>
    </row>
    <row r="420" spans="1:19" ht="14.25">
      <c r="A420" s="331" t="s">
        <v>1288</v>
      </c>
      <c r="B420" s="332">
        <v>20</v>
      </c>
      <c r="C420" s="332">
        <v>0</v>
      </c>
      <c r="D420" s="333"/>
      <c r="E420" s="334"/>
      <c r="F420" s="359"/>
      <c r="G420" s="335"/>
      <c r="H420" s="336"/>
      <c r="I420" s="336"/>
      <c r="J420" s="335"/>
      <c r="K420" s="342"/>
      <c r="L420" s="342"/>
      <c r="M420" s="336"/>
      <c r="N420" s="336"/>
      <c r="O420" s="336"/>
      <c r="P420" s="336"/>
      <c r="Q420" s="342"/>
      <c r="R420" s="345"/>
      <c r="S420" s="345"/>
    </row>
    <row r="421" spans="1:19" ht="14.25">
      <c r="A421" s="331" t="s">
        <v>1289</v>
      </c>
      <c r="B421" s="332">
        <v>355</v>
      </c>
      <c r="C421" s="332">
        <v>71</v>
      </c>
      <c r="D421" s="333">
        <f t="shared" si="65"/>
        <v>400</v>
      </c>
      <c r="E421" s="334">
        <v>250</v>
      </c>
      <c r="F421" s="359">
        <v>250</v>
      </c>
      <c r="G421" s="335">
        <v>0</v>
      </c>
      <c r="H421" s="336">
        <v>300</v>
      </c>
      <c r="I421" s="336">
        <v>250</v>
      </c>
      <c r="J421" s="335">
        <f aca="true" t="shared" si="72" ref="J421:J423">H421/I421*100-100</f>
        <v>20</v>
      </c>
      <c r="K421" s="342"/>
      <c r="L421" s="342"/>
      <c r="M421" s="336"/>
      <c r="N421" s="336"/>
      <c r="O421" s="336"/>
      <c r="P421" s="336"/>
      <c r="Q421" s="342">
        <v>71</v>
      </c>
      <c r="R421" s="345">
        <v>127</v>
      </c>
      <c r="S421" s="333">
        <f t="shared" si="71"/>
        <v>-44.09448818897638</v>
      </c>
    </row>
    <row r="422" spans="1:19" ht="14.25">
      <c r="A422" s="337" t="s">
        <v>1290</v>
      </c>
      <c r="B422" s="332">
        <v>348</v>
      </c>
      <c r="C422" s="332">
        <v>58</v>
      </c>
      <c r="D422" s="333">
        <f t="shared" si="65"/>
        <v>500</v>
      </c>
      <c r="E422" s="334">
        <v>250</v>
      </c>
      <c r="F422" s="359">
        <v>250</v>
      </c>
      <c r="G422" s="335">
        <v>0</v>
      </c>
      <c r="H422" s="336">
        <v>300</v>
      </c>
      <c r="I422" s="336">
        <v>250</v>
      </c>
      <c r="J422" s="335">
        <f t="shared" si="72"/>
        <v>20</v>
      </c>
      <c r="K422" s="342"/>
      <c r="L422" s="342"/>
      <c r="M422" s="336"/>
      <c r="N422" s="336"/>
      <c r="O422" s="336"/>
      <c r="P422" s="336"/>
      <c r="Q422" s="342">
        <v>58</v>
      </c>
      <c r="R422" s="345">
        <v>127</v>
      </c>
      <c r="S422" s="333">
        <f t="shared" si="71"/>
        <v>-54.33070866141732</v>
      </c>
    </row>
    <row r="423" spans="1:19" ht="14.25">
      <c r="A423" s="337" t="s">
        <v>1201</v>
      </c>
      <c r="B423" s="332">
        <v>0</v>
      </c>
      <c r="C423" s="332">
        <v>0</v>
      </c>
      <c r="D423" s="333"/>
      <c r="E423" s="334"/>
      <c r="F423" s="359"/>
      <c r="G423" s="335"/>
      <c r="H423" s="336">
        <v>300</v>
      </c>
      <c r="I423" s="336">
        <v>250</v>
      </c>
      <c r="J423" s="335">
        <f t="shared" si="72"/>
        <v>20</v>
      </c>
      <c r="K423" s="342"/>
      <c r="L423" s="342"/>
      <c r="M423" s="336"/>
      <c r="N423" s="336"/>
      <c r="O423" s="336"/>
      <c r="P423" s="336"/>
      <c r="Q423" s="342"/>
      <c r="R423" s="345"/>
      <c r="S423" s="345"/>
    </row>
    <row r="424" spans="1:19" ht="14.25">
      <c r="A424" s="337" t="s">
        <v>1291</v>
      </c>
      <c r="B424" s="332">
        <v>21</v>
      </c>
      <c r="C424" s="332"/>
      <c r="D424" s="333"/>
      <c r="E424" s="334"/>
      <c r="F424" s="359"/>
      <c r="G424" s="335"/>
      <c r="H424" s="336"/>
      <c r="I424" s="336"/>
      <c r="J424" s="335"/>
      <c r="K424" s="342"/>
      <c r="L424" s="342"/>
      <c r="M424" s="336"/>
      <c r="N424" s="336"/>
      <c r="O424" s="336"/>
      <c r="P424" s="336"/>
      <c r="Q424" s="342"/>
      <c r="R424" s="345"/>
      <c r="S424" s="345"/>
    </row>
    <row r="425" spans="1:19" ht="14.25">
      <c r="A425" s="337" t="s">
        <v>1292</v>
      </c>
      <c r="B425" s="332">
        <v>77</v>
      </c>
      <c r="C425" s="332">
        <v>58</v>
      </c>
      <c r="D425" s="333">
        <f t="shared" si="65"/>
        <v>32.758620689655174</v>
      </c>
      <c r="E425" s="334"/>
      <c r="F425" s="359"/>
      <c r="G425" s="335"/>
      <c r="H425" s="336"/>
      <c r="I425" s="336"/>
      <c r="J425" s="335"/>
      <c r="K425" s="342"/>
      <c r="L425" s="342"/>
      <c r="M425" s="336"/>
      <c r="N425" s="336"/>
      <c r="O425" s="336"/>
      <c r="P425" s="336"/>
      <c r="Q425" s="342">
        <v>58</v>
      </c>
      <c r="R425" s="345">
        <v>127</v>
      </c>
      <c r="S425" s="333">
        <f>Q425/R425*100-100</f>
        <v>-54.33070866141732</v>
      </c>
    </row>
    <row r="426" spans="1:19" ht="14.25">
      <c r="A426" s="337" t="s">
        <v>1293</v>
      </c>
      <c r="B426" s="332">
        <v>100</v>
      </c>
      <c r="C426" s="332"/>
      <c r="D426" s="333"/>
      <c r="E426" s="334"/>
      <c r="F426" s="359"/>
      <c r="G426" s="335"/>
      <c r="H426" s="336"/>
      <c r="I426" s="336"/>
      <c r="J426" s="335"/>
      <c r="K426" s="342"/>
      <c r="L426" s="342"/>
      <c r="M426" s="336"/>
      <c r="N426" s="336"/>
      <c r="O426" s="336"/>
      <c r="P426" s="336"/>
      <c r="Q426" s="342"/>
      <c r="R426" s="345"/>
      <c r="S426" s="333"/>
    </row>
    <row r="427" spans="1:19" ht="14.25">
      <c r="A427" s="337" t="s">
        <v>1294</v>
      </c>
      <c r="B427" s="332">
        <v>150</v>
      </c>
      <c r="C427" s="332">
        <v>0</v>
      </c>
      <c r="D427" s="333"/>
      <c r="E427" s="334">
        <v>250</v>
      </c>
      <c r="F427" s="359">
        <v>250</v>
      </c>
      <c r="G427" s="335">
        <v>0</v>
      </c>
      <c r="H427" s="336"/>
      <c r="I427" s="336"/>
      <c r="J427" s="335"/>
      <c r="K427" s="342"/>
      <c r="L427" s="342"/>
      <c r="M427" s="336"/>
      <c r="N427" s="336"/>
      <c r="O427" s="336"/>
      <c r="P427" s="336"/>
      <c r="Q427" s="342"/>
      <c r="R427" s="345"/>
      <c r="S427" s="345"/>
    </row>
    <row r="428" spans="1:19" ht="14.25">
      <c r="A428" s="337" t="s">
        <v>1295</v>
      </c>
      <c r="B428" s="332">
        <v>5</v>
      </c>
      <c r="C428" s="332">
        <v>10</v>
      </c>
      <c r="D428" s="333">
        <f t="shared" si="65"/>
        <v>-50</v>
      </c>
      <c r="E428" s="334"/>
      <c r="F428" s="359"/>
      <c r="G428" s="335"/>
      <c r="H428" s="336"/>
      <c r="I428" s="336"/>
      <c r="J428" s="335"/>
      <c r="K428" s="342"/>
      <c r="L428" s="342"/>
      <c r="M428" s="336"/>
      <c r="N428" s="336"/>
      <c r="O428" s="336"/>
      <c r="P428" s="336"/>
      <c r="Q428" s="342">
        <v>10</v>
      </c>
      <c r="R428" s="345"/>
      <c r="S428" s="345"/>
    </row>
    <row r="429" spans="1:19" ht="14.25">
      <c r="A429" s="337" t="s">
        <v>1296</v>
      </c>
      <c r="B429" s="332">
        <v>5</v>
      </c>
      <c r="C429" s="332">
        <v>10</v>
      </c>
      <c r="D429" s="333">
        <f t="shared" si="65"/>
        <v>-50</v>
      </c>
      <c r="E429" s="334"/>
      <c r="F429" s="359"/>
      <c r="G429" s="335"/>
      <c r="H429" s="336"/>
      <c r="I429" s="336"/>
      <c r="J429" s="335"/>
      <c r="K429" s="342"/>
      <c r="L429" s="342"/>
      <c r="M429" s="336"/>
      <c r="N429" s="336"/>
      <c r="O429" s="336"/>
      <c r="P429" s="336"/>
      <c r="Q429" s="342">
        <v>10</v>
      </c>
      <c r="R429" s="345"/>
      <c r="S429" s="345"/>
    </row>
    <row r="430" spans="1:19" ht="14.25">
      <c r="A430" s="337" t="s">
        <v>1297</v>
      </c>
      <c r="B430" s="332">
        <v>3</v>
      </c>
      <c r="C430" s="332">
        <v>3</v>
      </c>
      <c r="D430" s="333">
        <f t="shared" si="65"/>
        <v>0</v>
      </c>
      <c r="E430" s="334"/>
      <c r="F430" s="359"/>
      <c r="G430" s="335"/>
      <c r="H430" s="336"/>
      <c r="I430" s="336"/>
      <c r="J430" s="335"/>
      <c r="K430" s="342"/>
      <c r="L430" s="342"/>
      <c r="M430" s="336"/>
      <c r="N430" s="336"/>
      <c r="O430" s="336"/>
      <c r="P430" s="336"/>
      <c r="Q430" s="342">
        <v>3</v>
      </c>
      <c r="R430" s="345"/>
      <c r="S430" s="345"/>
    </row>
    <row r="431" spans="1:19" ht="14.25">
      <c r="A431" s="337" t="s">
        <v>1298</v>
      </c>
      <c r="B431" s="332">
        <v>3</v>
      </c>
      <c r="C431" s="332">
        <v>3</v>
      </c>
      <c r="D431" s="333">
        <f t="shared" si="65"/>
        <v>0</v>
      </c>
      <c r="E431" s="334"/>
      <c r="F431" s="359"/>
      <c r="G431" s="335"/>
      <c r="H431" s="336"/>
      <c r="I431" s="336"/>
      <c r="J431" s="335"/>
      <c r="K431" s="342"/>
      <c r="L431" s="342"/>
      <c r="M431" s="336"/>
      <c r="N431" s="336"/>
      <c r="O431" s="336"/>
      <c r="P431" s="336"/>
      <c r="Q431" s="342">
        <v>3</v>
      </c>
      <c r="R431" s="345"/>
      <c r="S431" s="345"/>
    </row>
    <row r="432" spans="1:19" ht="14.25">
      <c r="A432" s="331" t="s">
        <v>1299</v>
      </c>
      <c r="B432" s="332">
        <v>1902</v>
      </c>
      <c r="C432" s="332">
        <v>1782</v>
      </c>
      <c r="D432" s="333">
        <f t="shared" si="65"/>
        <v>6.7340067340067264</v>
      </c>
      <c r="E432" s="334">
        <v>1100</v>
      </c>
      <c r="F432" s="359">
        <v>1097</v>
      </c>
      <c r="G432" s="335">
        <v>0.27347310847766637</v>
      </c>
      <c r="H432" s="336"/>
      <c r="I432" s="336"/>
      <c r="J432" s="335"/>
      <c r="K432" s="347">
        <v>7</v>
      </c>
      <c r="L432" s="341">
        <v>6</v>
      </c>
      <c r="M432" s="336"/>
      <c r="N432" s="336"/>
      <c r="O432" s="336"/>
      <c r="P432" s="336"/>
      <c r="Q432" s="342">
        <v>1775</v>
      </c>
      <c r="R432" s="345">
        <v>1161</v>
      </c>
      <c r="S432" s="333">
        <f aca="true" t="shared" si="73" ref="S432:S434">Q432/R432*100-100</f>
        <v>52.88544358311799</v>
      </c>
    </row>
    <row r="433" spans="1:19" ht="14.25">
      <c r="A433" s="337" t="s">
        <v>1300</v>
      </c>
      <c r="B433" s="332">
        <v>1902</v>
      </c>
      <c r="C433" s="332">
        <v>1775</v>
      </c>
      <c r="D433" s="333">
        <f t="shared" si="65"/>
        <v>7.154929577464799</v>
      </c>
      <c r="E433" s="334">
        <v>1100</v>
      </c>
      <c r="F433" s="359">
        <v>1097</v>
      </c>
      <c r="G433" s="335">
        <v>0.27347310847766637</v>
      </c>
      <c r="H433" s="336"/>
      <c r="I433" s="336"/>
      <c r="J433" s="335"/>
      <c r="K433" s="342"/>
      <c r="L433" s="342"/>
      <c r="M433" s="336"/>
      <c r="N433" s="336"/>
      <c r="O433" s="336"/>
      <c r="P433" s="336"/>
      <c r="Q433" s="342">
        <v>1775</v>
      </c>
      <c r="R433" s="345">
        <v>1161</v>
      </c>
      <c r="S433" s="333">
        <f t="shared" si="73"/>
        <v>52.88544358311799</v>
      </c>
    </row>
    <row r="434" spans="1:19" ht="14.25">
      <c r="A434" s="337" t="s">
        <v>1301</v>
      </c>
      <c r="B434" s="332">
        <v>1902</v>
      </c>
      <c r="C434" s="332">
        <v>1775</v>
      </c>
      <c r="D434" s="333">
        <f t="shared" si="65"/>
        <v>7.154929577464799</v>
      </c>
      <c r="E434" s="334">
        <v>1100</v>
      </c>
      <c r="F434" s="359">
        <v>1097</v>
      </c>
      <c r="G434" s="335">
        <v>0.27347310847766637</v>
      </c>
      <c r="H434" s="336"/>
      <c r="I434" s="336"/>
      <c r="J434" s="335"/>
      <c r="K434" s="342"/>
      <c r="L434" s="342"/>
      <c r="M434" s="336"/>
      <c r="N434" s="336"/>
      <c r="O434" s="336"/>
      <c r="P434" s="336"/>
      <c r="Q434" s="342">
        <v>1775</v>
      </c>
      <c r="R434" s="345">
        <v>1161</v>
      </c>
      <c r="S434" s="333">
        <f t="shared" si="73"/>
        <v>52.88544358311799</v>
      </c>
    </row>
    <row r="435" spans="1:19" ht="14.25">
      <c r="A435" s="337" t="s">
        <v>1302</v>
      </c>
      <c r="B435" s="332">
        <v>0</v>
      </c>
      <c r="C435" s="332">
        <v>7</v>
      </c>
      <c r="D435" s="333">
        <f t="shared" si="65"/>
        <v>-100</v>
      </c>
      <c r="E435" s="334"/>
      <c r="F435" s="359"/>
      <c r="G435" s="335"/>
      <c r="H435" s="336"/>
      <c r="I435" s="336"/>
      <c r="J435" s="335"/>
      <c r="K435" s="347">
        <v>7</v>
      </c>
      <c r="L435" s="341">
        <v>6</v>
      </c>
      <c r="M435" s="336"/>
      <c r="N435" s="336"/>
      <c r="O435" s="336"/>
      <c r="P435" s="336"/>
      <c r="Q435" s="342"/>
      <c r="R435" s="345"/>
      <c r="S435" s="345"/>
    </row>
    <row r="436" spans="1:19" ht="14.25">
      <c r="A436" s="337" t="s">
        <v>1303</v>
      </c>
      <c r="B436" s="332">
        <v>0</v>
      </c>
      <c r="C436" s="332">
        <v>7</v>
      </c>
      <c r="D436" s="333">
        <f t="shared" si="65"/>
        <v>-100</v>
      </c>
      <c r="E436" s="334"/>
      <c r="F436" s="359"/>
      <c r="G436" s="335"/>
      <c r="H436" s="336"/>
      <c r="I436" s="336"/>
      <c r="J436" s="335"/>
      <c r="K436" s="347">
        <v>7</v>
      </c>
      <c r="L436" s="341">
        <v>6</v>
      </c>
      <c r="M436" s="336"/>
      <c r="N436" s="336"/>
      <c r="O436" s="336"/>
      <c r="P436" s="336"/>
      <c r="Q436" s="342"/>
      <c r="R436" s="345"/>
      <c r="S436" s="345"/>
    </row>
    <row r="437" spans="1:19" ht="14.25">
      <c r="A437" s="331" t="s">
        <v>1304</v>
      </c>
      <c r="B437" s="332">
        <v>0</v>
      </c>
      <c r="C437" s="332">
        <v>0</v>
      </c>
      <c r="D437" s="333"/>
      <c r="E437" s="334">
        <v>300</v>
      </c>
      <c r="F437" s="359">
        <v>100</v>
      </c>
      <c r="G437" s="335">
        <v>200</v>
      </c>
      <c r="H437" s="336"/>
      <c r="I437" s="336"/>
      <c r="J437" s="335"/>
      <c r="K437" s="342"/>
      <c r="L437" s="342"/>
      <c r="M437" s="336"/>
      <c r="N437" s="336"/>
      <c r="O437" s="336"/>
      <c r="P437" s="336"/>
      <c r="Q437" s="342"/>
      <c r="R437" s="345"/>
      <c r="S437" s="345"/>
    </row>
    <row r="438" spans="1:19" ht="14.25">
      <c r="A438" s="337" t="s">
        <v>1305</v>
      </c>
      <c r="B438" s="332">
        <v>0</v>
      </c>
      <c r="C438" s="332">
        <v>0</v>
      </c>
      <c r="D438" s="333"/>
      <c r="E438" s="334">
        <v>63</v>
      </c>
      <c r="F438" s="359">
        <v>63</v>
      </c>
      <c r="G438" s="335">
        <v>0</v>
      </c>
      <c r="H438" s="336"/>
      <c r="I438" s="336"/>
      <c r="J438" s="335"/>
      <c r="K438" s="342"/>
      <c r="L438" s="342"/>
      <c r="M438" s="336"/>
      <c r="N438" s="336"/>
      <c r="O438" s="336"/>
      <c r="P438" s="336"/>
      <c r="Q438" s="342"/>
      <c r="R438" s="345"/>
      <c r="S438" s="345"/>
    </row>
    <row r="439" spans="1:19" ht="14.25">
      <c r="A439" s="337" t="s">
        <v>1202</v>
      </c>
      <c r="B439" s="332">
        <v>0</v>
      </c>
      <c r="C439" s="332">
        <v>0</v>
      </c>
      <c r="D439" s="333"/>
      <c r="E439" s="334">
        <v>63</v>
      </c>
      <c r="F439" s="359">
        <v>63</v>
      </c>
      <c r="G439" s="335">
        <v>0</v>
      </c>
      <c r="H439" s="336"/>
      <c r="I439" s="336"/>
      <c r="J439" s="335"/>
      <c r="K439" s="342"/>
      <c r="L439" s="342"/>
      <c r="M439" s="336"/>
      <c r="N439" s="336"/>
      <c r="O439" s="336"/>
      <c r="P439" s="336"/>
      <c r="Q439" s="342"/>
      <c r="R439" s="345"/>
      <c r="S439" s="345"/>
    </row>
    <row r="440" spans="1:19" ht="14.25">
      <c r="A440" s="337" t="s">
        <v>1306</v>
      </c>
      <c r="B440" s="332">
        <v>0</v>
      </c>
      <c r="C440" s="332">
        <v>0</v>
      </c>
      <c r="D440" s="333"/>
      <c r="E440" s="360">
        <v>237</v>
      </c>
      <c r="F440" s="359">
        <v>37</v>
      </c>
      <c r="G440" s="335">
        <v>540.5405405405405</v>
      </c>
      <c r="H440" s="336"/>
      <c r="I440" s="336"/>
      <c r="J440" s="335"/>
      <c r="K440" s="342"/>
      <c r="L440" s="342"/>
      <c r="M440" s="336"/>
      <c r="N440" s="336"/>
      <c r="O440" s="336"/>
      <c r="P440" s="336"/>
      <c r="Q440" s="342"/>
      <c r="R440" s="345"/>
      <c r="S440" s="345"/>
    </row>
    <row r="441" spans="1:19" ht="14.25">
      <c r="A441" s="337" t="s">
        <v>1307</v>
      </c>
      <c r="B441" s="332">
        <v>0</v>
      </c>
      <c r="C441" s="332">
        <v>0</v>
      </c>
      <c r="D441" s="333"/>
      <c r="E441" s="360">
        <v>237</v>
      </c>
      <c r="F441" s="359">
        <v>37</v>
      </c>
      <c r="G441" s="335">
        <v>540.5405405405405</v>
      </c>
      <c r="H441" s="336"/>
      <c r="I441" s="336"/>
      <c r="J441" s="335"/>
      <c r="K441" s="342"/>
      <c r="L441" s="342"/>
      <c r="M441" s="336"/>
      <c r="N441" s="336"/>
      <c r="O441" s="336"/>
      <c r="P441" s="336"/>
      <c r="Q441" s="342"/>
      <c r="R441" s="345"/>
      <c r="S441" s="345"/>
    </row>
    <row r="442" spans="1:19" ht="14.25">
      <c r="A442" s="331" t="s">
        <v>1308</v>
      </c>
      <c r="B442" s="332">
        <v>3100</v>
      </c>
      <c r="C442" s="332">
        <v>2000</v>
      </c>
      <c r="D442" s="333">
        <f t="shared" si="65"/>
        <v>55</v>
      </c>
      <c r="E442" s="360">
        <v>6000</v>
      </c>
      <c r="F442" s="359">
        <v>5000</v>
      </c>
      <c r="G442" s="335">
        <v>20</v>
      </c>
      <c r="H442" s="336">
        <v>9000</v>
      </c>
      <c r="I442" s="336">
        <v>5000</v>
      </c>
      <c r="J442" s="335">
        <f>H442/I442*100-100</f>
        <v>80</v>
      </c>
      <c r="K442" s="342"/>
      <c r="L442" s="342"/>
      <c r="M442" s="336"/>
      <c r="N442" s="336"/>
      <c r="O442" s="336"/>
      <c r="P442" s="336"/>
      <c r="Q442" s="342">
        <v>2000</v>
      </c>
      <c r="R442" s="345">
        <v>2000</v>
      </c>
      <c r="S442" s="333">
        <f>Q442/R442*100-100</f>
        <v>0</v>
      </c>
    </row>
    <row r="443" spans="1:19" ht="14.25">
      <c r="A443" s="331" t="s">
        <v>1309</v>
      </c>
      <c r="B443" s="332">
        <v>2200</v>
      </c>
      <c r="C443" s="332">
        <v>4025</v>
      </c>
      <c r="D443" s="333">
        <f t="shared" si="65"/>
        <v>-45.3416149068323</v>
      </c>
      <c r="E443" s="360">
        <v>6000</v>
      </c>
      <c r="F443" s="359">
        <v>2094</v>
      </c>
      <c r="G443" s="335">
        <v>186.53295128939828</v>
      </c>
      <c r="H443" s="336"/>
      <c r="I443" s="336"/>
      <c r="J443" s="335"/>
      <c r="K443" s="347">
        <v>4025</v>
      </c>
      <c r="L443" s="341">
        <v>3500</v>
      </c>
      <c r="M443" s="336"/>
      <c r="N443" s="336"/>
      <c r="O443" s="336"/>
      <c r="P443" s="336"/>
      <c r="Q443" s="342"/>
      <c r="R443" s="345"/>
      <c r="S443" s="345"/>
    </row>
    <row r="444" spans="1:19" ht="14.25">
      <c r="A444" s="337" t="s">
        <v>1310</v>
      </c>
      <c r="B444" s="332">
        <v>0</v>
      </c>
      <c r="C444" s="332">
        <v>4025</v>
      </c>
      <c r="D444" s="333">
        <f t="shared" si="65"/>
        <v>-100</v>
      </c>
      <c r="E444" s="334"/>
      <c r="F444" s="359"/>
      <c r="G444" s="335"/>
      <c r="H444" s="336"/>
      <c r="I444" s="336"/>
      <c r="J444" s="335"/>
      <c r="K444" s="347">
        <v>4025</v>
      </c>
      <c r="L444" s="341">
        <v>3500</v>
      </c>
      <c r="M444" s="336"/>
      <c r="N444" s="336"/>
      <c r="O444" s="336"/>
      <c r="P444" s="336"/>
      <c r="Q444" s="342"/>
      <c r="R444" s="345"/>
      <c r="S444" s="345"/>
    </row>
    <row r="445" spans="1:19" ht="14.25">
      <c r="A445" s="337" t="s">
        <v>1311</v>
      </c>
      <c r="B445" s="332">
        <v>2200</v>
      </c>
      <c r="C445" s="332">
        <v>0</v>
      </c>
      <c r="D445" s="333"/>
      <c r="E445" s="360">
        <v>6000</v>
      </c>
      <c r="F445" s="359">
        <v>2094</v>
      </c>
      <c r="G445" s="335">
        <v>186.53295128939828</v>
      </c>
      <c r="H445" s="336"/>
      <c r="I445" s="336"/>
      <c r="J445" s="335"/>
      <c r="K445" s="342"/>
      <c r="L445" s="342"/>
      <c r="M445" s="336"/>
      <c r="N445" s="336"/>
      <c r="O445" s="336"/>
      <c r="P445" s="336"/>
      <c r="Q445" s="342"/>
      <c r="R445" s="345"/>
      <c r="S445" s="345"/>
    </row>
    <row r="446" spans="1:19" ht="14.25">
      <c r="A446" s="331" t="s">
        <v>55</v>
      </c>
      <c r="B446" s="332">
        <v>1640</v>
      </c>
      <c r="C446" s="332">
        <v>3569</v>
      </c>
      <c r="D446" s="333">
        <f t="shared" si="65"/>
        <v>-54.04875315214346</v>
      </c>
      <c r="E446" s="360">
        <v>50</v>
      </c>
      <c r="F446" s="359">
        <v>942</v>
      </c>
      <c r="G446" s="335">
        <v>-94.69214437367303</v>
      </c>
      <c r="H446" s="336">
        <v>1500</v>
      </c>
      <c r="I446" s="336">
        <v>1000</v>
      </c>
      <c r="J446" s="335">
        <f>H446/I446*100-100</f>
        <v>50</v>
      </c>
      <c r="K446" s="347">
        <v>69</v>
      </c>
      <c r="L446" s="341">
        <v>60</v>
      </c>
      <c r="M446" s="336"/>
      <c r="N446" s="336"/>
      <c r="O446" s="336"/>
      <c r="P446" s="336"/>
      <c r="Q446" s="342">
        <v>3500</v>
      </c>
      <c r="R446" s="345">
        <f>R447+R448</f>
        <v>6300</v>
      </c>
      <c r="S446" s="333">
        <f>Q446/R446*100-100</f>
        <v>-44.44444444444444</v>
      </c>
    </row>
    <row r="447" spans="1:19" ht="14.25">
      <c r="A447" s="337" t="s">
        <v>1312</v>
      </c>
      <c r="B447" s="332">
        <v>4100</v>
      </c>
      <c r="C447" s="332">
        <v>3500</v>
      </c>
      <c r="D447" s="333">
        <f t="shared" si="65"/>
        <v>17.142857142857153</v>
      </c>
      <c r="E447" s="360"/>
      <c r="F447" s="359"/>
      <c r="G447" s="335"/>
      <c r="H447" s="336"/>
      <c r="I447" s="336"/>
      <c r="J447" s="335"/>
      <c r="K447" s="342"/>
      <c r="L447" s="342"/>
      <c r="M447" s="336"/>
      <c r="N447" s="336"/>
      <c r="O447" s="336"/>
      <c r="P447" s="336"/>
      <c r="Q447" s="342">
        <v>3500</v>
      </c>
      <c r="R447" s="345"/>
      <c r="S447" s="345"/>
    </row>
    <row r="448" spans="1:19" ht="14.25">
      <c r="A448" s="337" t="s">
        <v>1313</v>
      </c>
      <c r="B448" s="332">
        <v>540</v>
      </c>
      <c r="C448" s="332">
        <v>69</v>
      </c>
      <c r="D448" s="333">
        <f t="shared" si="65"/>
        <v>682.6086956521739</v>
      </c>
      <c r="E448" s="360">
        <v>50</v>
      </c>
      <c r="F448" s="359">
        <v>942</v>
      </c>
      <c r="G448" s="335">
        <v>-94.69214437367303</v>
      </c>
      <c r="H448" s="336">
        <v>1500</v>
      </c>
      <c r="I448" s="336">
        <v>1000</v>
      </c>
      <c r="J448" s="335">
        <f>H448/I448*100-100</f>
        <v>50</v>
      </c>
      <c r="K448" s="347">
        <v>69</v>
      </c>
      <c r="L448" s="341">
        <v>60</v>
      </c>
      <c r="M448" s="336"/>
      <c r="N448" s="336"/>
      <c r="O448" s="336"/>
      <c r="P448" s="336"/>
      <c r="Q448" s="342"/>
      <c r="R448" s="345">
        <v>6300</v>
      </c>
      <c r="S448" s="333">
        <f>Q448/R448*100-100</f>
        <v>-100</v>
      </c>
    </row>
    <row r="449" spans="1:19" ht="14.25">
      <c r="A449" s="331" t="s">
        <v>1314</v>
      </c>
      <c r="B449" s="332">
        <v>482</v>
      </c>
      <c r="C449" s="332"/>
      <c r="D449" s="333"/>
      <c r="E449" s="360"/>
      <c r="F449" s="359"/>
      <c r="G449" s="335"/>
      <c r="H449" s="336"/>
      <c r="I449" s="336"/>
      <c r="J449" s="335"/>
      <c r="K449" s="347"/>
      <c r="L449" s="341"/>
      <c r="M449" s="336"/>
      <c r="N449" s="336"/>
      <c r="O449" s="336"/>
      <c r="P449" s="336"/>
      <c r="Q449" s="342"/>
      <c r="R449" s="345"/>
      <c r="S449" s="333"/>
    </row>
    <row r="450" spans="1:19" ht="14.25">
      <c r="A450" s="337" t="s">
        <v>1315</v>
      </c>
      <c r="B450" s="332">
        <v>482</v>
      </c>
      <c r="C450" s="332"/>
      <c r="D450" s="333"/>
      <c r="E450" s="360"/>
      <c r="F450" s="359"/>
      <c r="G450" s="335"/>
      <c r="H450" s="336"/>
      <c r="I450" s="336"/>
      <c r="J450" s="335"/>
      <c r="K450" s="347"/>
      <c r="L450" s="341"/>
      <c r="M450" s="336"/>
      <c r="N450" s="336"/>
      <c r="O450" s="336"/>
      <c r="P450" s="336"/>
      <c r="Q450" s="342"/>
      <c r="R450" s="345"/>
      <c r="S450" s="333"/>
    </row>
    <row r="451" spans="1:19" ht="14.25">
      <c r="A451" s="337" t="s">
        <v>1316</v>
      </c>
      <c r="B451" s="332">
        <v>482</v>
      </c>
      <c r="C451" s="332"/>
      <c r="D451" s="333"/>
      <c r="E451" s="360"/>
      <c r="F451" s="359"/>
      <c r="G451" s="335"/>
      <c r="H451" s="336"/>
      <c r="I451" s="336"/>
      <c r="J451" s="335"/>
      <c r="K451" s="347"/>
      <c r="L451" s="341"/>
      <c r="M451" s="336"/>
      <c r="N451" s="336"/>
      <c r="O451" s="336"/>
      <c r="P451" s="336"/>
      <c r="Q451" s="342"/>
      <c r="R451" s="345"/>
      <c r="S451" s="333"/>
    </row>
    <row r="452" spans="1:19" ht="14.25">
      <c r="A452" s="337" t="s">
        <v>57</v>
      </c>
      <c r="B452" s="332">
        <v>196909.9</v>
      </c>
      <c r="C452" s="332">
        <v>170964</v>
      </c>
      <c r="D452" s="333">
        <f t="shared" si="65"/>
        <v>15.17623593271098</v>
      </c>
      <c r="E452" s="361">
        <v>250342</v>
      </c>
      <c r="F452" s="361">
        <v>208110</v>
      </c>
      <c r="G452" s="335">
        <v>20.29311421844217</v>
      </c>
      <c r="H452" s="336">
        <f>H6+H110+H139+H155+H173+H190+H268+H307+H323+H338+H382+H392+H409+H421+H442+H446</f>
        <v>392000</v>
      </c>
      <c r="I452" s="336">
        <v>380000</v>
      </c>
      <c r="J452" s="335">
        <f>H452/I452*100-100</f>
        <v>3.1578947368421098</v>
      </c>
      <c r="K452" s="345">
        <f>K446+K442+K432+K421+K409+K392+K381+K338+K443+K323+K307+K268+K190+K173+K155+K139+K110+K6</f>
        <v>19685</v>
      </c>
      <c r="L452" s="345">
        <f>L446+L442+L432+L421+L409+L392+L381+L338+L443+L323+L307+L268+L190+L173+L155+L139+L110+L6</f>
        <v>17163</v>
      </c>
      <c r="M452" s="336"/>
      <c r="N452" s="336"/>
      <c r="O452" s="336"/>
      <c r="P452" s="336"/>
      <c r="Q452" s="345">
        <f>Q446+Q442+Q432+Q421+Q409+Q392+Q381+Q338+Q443+Q323+Q307+Q268+Q190+Q173+Q155+Q139+Q110+Q6</f>
        <v>151279</v>
      </c>
      <c r="R452" s="345">
        <f>R446+R442+R432+R421+R409+R392+R381+R338+R443+R323+R307+R268+R190+R173+R155+R139+R110+R6</f>
        <v>130195</v>
      </c>
      <c r="S452" s="333">
        <f>Q452/R452*100-100</f>
        <v>16.194170283036982</v>
      </c>
    </row>
    <row r="453" spans="1:19" ht="14.25">
      <c r="A453" s="362"/>
      <c r="B453" s="363"/>
      <c r="C453" s="363"/>
      <c r="D453" s="364"/>
      <c r="E453" s="363"/>
      <c r="F453" s="363"/>
      <c r="G453" s="364"/>
      <c r="H453" s="364"/>
      <c r="I453" s="363"/>
      <c r="J453" s="364"/>
      <c r="K453" s="362"/>
      <c r="L453" s="362"/>
      <c r="M453" s="362"/>
      <c r="N453" s="362"/>
      <c r="O453" s="362"/>
      <c r="P453" s="362"/>
      <c r="Q453" s="319"/>
      <c r="R453" s="319"/>
      <c r="S453" s="319"/>
    </row>
    <row r="455" spans="17:18" ht="14.25">
      <c r="Q455" s="365"/>
      <c r="R455" s="365"/>
    </row>
  </sheetData>
  <sheetProtection/>
  <mergeCells count="8">
    <mergeCell ref="A2:J2"/>
    <mergeCell ref="B4:D4"/>
    <mergeCell ref="E4:G4"/>
    <mergeCell ref="I4:J4"/>
    <mergeCell ref="K4:M4"/>
    <mergeCell ref="N4:P4"/>
    <mergeCell ref="Q4:S4"/>
    <mergeCell ref="A4:A5"/>
  </mergeCells>
  <printOptions horizontalCentered="1"/>
  <pageMargins left="0.55" right="0.39" top="0.47" bottom="0.55" header="0.75" footer="0.35"/>
  <pageSetup horizontalDpi="600" verticalDpi="600" orientation="landscape" paperSize="9" scale="85"/>
  <headerFooter scaleWithDoc="0" alignWithMargins="0">
    <oddFooter>&amp;C—&amp;P+31—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3"/>
  </sheetPr>
  <dimension ref="A1:I22"/>
  <sheetViews>
    <sheetView workbookViewId="0" topLeftCell="A1">
      <pane xSplit="1" ySplit="4" topLeftCell="B5" activePane="bottomRight" state="frozen"/>
      <selection pane="bottomRight" activeCell="A2" sqref="A2:H2"/>
    </sheetView>
  </sheetViews>
  <sheetFormatPr defaultColWidth="9.00390625" defaultRowHeight="19.5" customHeight="1"/>
  <cols>
    <col min="1" max="1" width="30.125" style="0" customWidth="1"/>
    <col min="2" max="2" width="11.625" style="168" customWidth="1"/>
    <col min="3" max="3" width="10.875" style="168" customWidth="1"/>
    <col min="4" max="4" width="9.875" style="30" customWidth="1"/>
    <col min="5" max="5" width="29.125" style="32" customWidth="1"/>
    <col min="6" max="6" width="10.00390625" style="302" customWidth="1"/>
    <col min="7" max="7" width="10.625" style="280" customWidth="1"/>
    <col min="8" max="8" width="11.625" style="55" customWidth="1"/>
  </cols>
  <sheetData>
    <row r="1" spans="1:8" ht="18" customHeight="1">
      <c r="A1" s="7" t="s">
        <v>1317</v>
      </c>
      <c r="D1" s="169"/>
      <c r="G1" s="168"/>
      <c r="H1" s="262"/>
    </row>
    <row r="2" spans="1:8" ht="27" customHeight="1">
      <c r="A2" s="263" t="s">
        <v>1318</v>
      </c>
      <c r="B2" s="263"/>
      <c r="C2" s="263"/>
      <c r="D2" s="263"/>
      <c r="E2" s="263"/>
      <c r="F2" s="263"/>
      <c r="G2" s="263"/>
      <c r="H2" s="263"/>
    </row>
    <row r="3" spans="1:9" ht="12" customHeight="1">
      <c r="A3" s="201"/>
      <c r="D3" s="169"/>
      <c r="F3" s="303"/>
      <c r="G3" s="303"/>
      <c r="H3" s="286" t="s">
        <v>6</v>
      </c>
      <c r="I3" s="312"/>
    </row>
    <row r="4" spans="1:8" s="269" customFormat="1" ht="30" customHeight="1">
      <c r="A4" s="285" t="s">
        <v>7</v>
      </c>
      <c r="B4" s="182" t="s">
        <v>8</v>
      </c>
      <c r="C4" s="182" t="s">
        <v>9</v>
      </c>
      <c r="D4" s="111" t="s">
        <v>10</v>
      </c>
      <c r="E4" s="189" t="s">
        <v>11</v>
      </c>
      <c r="F4" s="182" t="s">
        <v>8</v>
      </c>
      <c r="G4" s="182" t="s">
        <v>9</v>
      </c>
      <c r="H4" s="279" t="s">
        <v>10</v>
      </c>
    </row>
    <row r="5" spans="1:8" s="260" customFormat="1" ht="22.5" customHeight="1">
      <c r="A5" s="203" t="s">
        <v>1319</v>
      </c>
      <c r="B5" s="304">
        <v>740</v>
      </c>
      <c r="C5" s="292">
        <v>1428</v>
      </c>
      <c r="D5" s="108">
        <f>B5/C5*100-100</f>
        <v>-48.179271708683466</v>
      </c>
      <c r="E5" s="183" t="s">
        <v>1320</v>
      </c>
      <c r="F5" s="292">
        <v>3600</v>
      </c>
      <c r="G5" s="292">
        <v>1719</v>
      </c>
      <c r="H5" s="305">
        <f>F5/G5*100-100</f>
        <v>109.42408376963351</v>
      </c>
    </row>
    <row r="6" spans="1:8" s="260" customFormat="1" ht="22.5" customHeight="1">
      <c r="A6" s="203" t="s">
        <v>1321</v>
      </c>
      <c r="B6" s="304">
        <v>4884</v>
      </c>
      <c r="C6" s="292">
        <v>5616</v>
      </c>
      <c r="D6" s="108">
        <f>B6/C6*100-100</f>
        <v>-13.034188034188034</v>
      </c>
      <c r="E6" s="183" t="s">
        <v>1322</v>
      </c>
      <c r="F6" s="292">
        <v>2</v>
      </c>
      <c r="G6" s="292">
        <v>197</v>
      </c>
      <c r="H6" s="305">
        <f>F6/G6*100-100</f>
        <v>-98.98477157360406</v>
      </c>
    </row>
    <row r="7" spans="1:8" s="260" customFormat="1" ht="22.5" customHeight="1">
      <c r="A7" s="203" t="s">
        <v>1323</v>
      </c>
      <c r="B7" s="304"/>
      <c r="C7" s="292">
        <v>21763</v>
      </c>
      <c r="D7" s="108"/>
      <c r="E7" s="183" t="s">
        <v>1324</v>
      </c>
      <c r="F7" s="292"/>
      <c r="G7" s="292">
        <v>9555</v>
      </c>
      <c r="H7" s="305"/>
    </row>
    <row r="8" spans="1:8" s="260" customFormat="1" ht="22.5" customHeight="1">
      <c r="A8" s="203" t="s">
        <v>1325</v>
      </c>
      <c r="B8" s="304">
        <v>4499</v>
      </c>
      <c r="C8" s="292">
        <v>12328</v>
      </c>
      <c r="D8" s="108">
        <f aca="true" t="shared" si="0" ref="D8:D14">B8/C8*100-100</f>
        <v>-63.50584036340039</v>
      </c>
      <c r="E8" s="306" t="s">
        <v>1326</v>
      </c>
      <c r="F8" s="292">
        <v>2422373</v>
      </c>
      <c r="G8" s="292">
        <v>2104373</v>
      </c>
      <c r="H8" s="305">
        <f aca="true" t="shared" si="1" ref="H8:H18">F8/G8*100-100</f>
        <v>15.111389473254036</v>
      </c>
    </row>
    <row r="9" spans="1:9" s="260" customFormat="1" ht="22.5" customHeight="1">
      <c r="A9" s="203" t="s">
        <v>1327</v>
      </c>
      <c r="B9" s="304">
        <v>2616373</v>
      </c>
      <c r="C9" s="292">
        <v>1760986</v>
      </c>
      <c r="D9" s="108">
        <f t="shared" si="0"/>
        <v>48.574321431289064</v>
      </c>
      <c r="E9" s="183" t="s">
        <v>1328</v>
      </c>
      <c r="F9" s="292">
        <v>4636</v>
      </c>
      <c r="G9" s="292">
        <v>2748</v>
      </c>
      <c r="H9" s="305">
        <f t="shared" si="1"/>
        <v>68.70451237263464</v>
      </c>
      <c r="I9" s="260">
        <f>SUM(B9:B11)/SUM(C9:C11)*100-100</f>
        <v>49.984213994550174</v>
      </c>
    </row>
    <row r="10" spans="1:8" s="260" customFormat="1" ht="22.5" customHeight="1">
      <c r="A10" s="210" t="s">
        <v>1329</v>
      </c>
      <c r="B10" s="304">
        <v>153004</v>
      </c>
      <c r="C10" s="292">
        <v>79988</v>
      </c>
      <c r="D10" s="108">
        <f t="shared" si="0"/>
        <v>91.2836925538831</v>
      </c>
      <c r="E10" s="183" t="s">
        <v>1330</v>
      </c>
      <c r="F10" s="307">
        <v>119259</v>
      </c>
      <c r="G10" s="292">
        <v>91505</v>
      </c>
      <c r="H10" s="305">
        <f t="shared" si="1"/>
        <v>30.330583028249833</v>
      </c>
    </row>
    <row r="11" spans="1:8" s="260" customFormat="1" ht="22.5" customHeight="1">
      <c r="A11" s="210" t="s">
        <v>1331</v>
      </c>
      <c r="B11" s="304">
        <v>9691</v>
      </c>
      <c r="C11" s="292">
        <v>11933</v>
      </c>
      <c r="D11" s="108">
        <f t="shared" si="0"/>
        <v>-18.788234308220893</v>
      </c>
      <c r="E11" s="183" t="s">
        <v>1332</v>
      </c>
      <c r="F11" s="292">
        <v>4021</v>
      </c>
      <c r="G11" s="292">
        <v>12963</v>
      </c>
      <c r="H11" s="305">
        <f t="shared" si="1"/>
        <v>-68.98094576872637</v>
      </c>
    </row>
    <row r="12" spans="1:8" s="260" customFormat="1" ht="22.5" customHeight="1">
      <c r="A12" s="203" t="s">
        <v>1333</v>
      </c>
      <c r="B12" s="304">
        <v>26112</v>
      </c>
      <c r="C12" s="292">
        <v>23000</v>
      </c>
      <c r="D12" s="108">
        <f t="shared" si="0"/>
        <v>13.530434782608694</v>
      </c>
      <c r="E12" s="183" t="s">
        <v>1334</v>
      </c>
      <c r="F12" s="292">
        <v>14434</v>
      </c>
      <c r="G12" s="292">
        <v>11046</v>
      </c>
      <c r="H12" s="305">
        <f t="shared" si="1"/>
        <v>30.671736375158446</v>
      </c>
    </row>
    <row r="13" spans="1:8" s="260" customFormat="1" ht="22.5" customHeight="1">
      <c r="A13" s="203" t="s">
        <v>1335</v>
      </c>
      <c r="B13" s="304">
        <v>8970</v>
      </c>
      <c r="C13" s="292">
        <v>8615</v>
      </c>
      <c r="D13" s="108">
        <f t="shared" si="0"/>
        <v>4.12071967498548</v>
      </c>
      <c r="E13" s="183" t="s">
        <v>1336</v>
      </c>
      <c r="F13" s="292">
        <v>14361</v>
      </c>
      <c r="G13" s="292">
        <v>6157</v>
      </c>
      <c r="H13" s="305">
        <f t="shared" si="1"/>
        <v>133.24671106058145</v>
      </c>
    </row>
    <row r="14" spans="1:8" s="260" customFormat="1" ht="22.5" customHeight="1">
      <c r="A14" s="203" t="s">
        <v>1337</v>
      </c>
      <c r="B14" s="304">
        <v>28949</v>
      </c>
      <c r="C14" s="292">
        <v>14118</v>
      </c>
      <c r="D14" s="108">
        <f t="shared" si="0"/>
        <v>105.05029040940644</v>
      </c>
      <c r="E14" s="183" t="s">
        <v>1338</v>
      </c>
      <c r="F14" s="292">
        <v>50</v>
      </c>
      <c r="G14" s="292">
        <v>-3</v>
      </c>
      <c r="H14" s="305">
        <f t="shared" si="1"/>
        <v>-1766.6666666666667</v>
      </c>
    </row>
    <row r="15" spans="1:8" s="260" customFormat="1" ht="22.5" customHeight="1">
      <c r="A15" s="203"/>
      <c r="B15" s="294"/>
      <c r="C15" s="294"/>
      <c r="D15" s="308"/>
      <c r="E15" s="183" t="s">
        <v>1339</v>
      </c>
      <c r="F15" s="292">
        <v>490</v>
      </c>
      <c r="G15" s="292">
        <v>648</v>
      </c>
      <c r="H15" s="305">
        <f t="shared" si="1"/>
        <v>-24.382716049382708</v>
      </c>
    </row>
    <row r="16" spans="1:8" s="260" customFormat="1" ht="22.5" customHeight="1">
      <c r="A16" s="203"/>
      <c r="B16" s="294"/>
      <c r="C16" s="294"/>
      <c r="D16" s="308"/>
      <c r="E16" s="183" t="s">
        <v>1340</v>
      </c>
      <c r="F16" s="292">
        <v>1486</v>
      </c>
      <c r="G16" s="292">
        <v>2372</v>
      </c>
      <c r="H16" s="305">
        <f t="shared" si="1"/>
        <v>-37.35244519392917</v>
      </c>
    </row>
    <row r="17" spans="1:8" s="260" customFormat="1" ht="22.5" customHeight="1">
      <c r="A17" s="203"/>
      <c r="B17" s="294"/>
      <c r="C17" s="294"/>
      <c r="D17" s="308"/>
      <c r="E17" s="183" t="s">
        <v>1341</v>
      </c>
      <c r="F17" s="307">
        <v>12728</v>
      </c>
      <c r="G17" s="292">
        <v>13095</v>
      </c>
      <c r="H17" s="305">
        <f t="shared" si="1"/>
        <v>-2.802596410843833</v>
      </c>
    </row>
    <row r="18" spans="1:8" s="260" customFormat="1" ht="22.5" customHeight="1">
      <c r="A18" s="203"/>
      <c r="B18" s="294"/>
      <c r="C18" s="294"/>
      <c r="D18" s="308"/>
      <c r="E18" s="183" t="s">
        <v>1342</v>
      </c>
      <c r="F18" s="292">
        <v>21764</v>
      </c>
      <c r="G18" s="292">
        <v>7062</v>
      </c>
      <c r="H18" s="305">
        <f t="shared" si="1"/>
        <v>208.18465024072503</v>
      </c>
    </row>
    <row r="19" spans="1:8" s="260" customFormat="1" ht="22.5" customHeight="1">
      <c r="A19" s="203"/>
      <c r="B19" s="294"/>
      <c r="C19" s="294"/>
      <c r="D19" s="308"/>
      <c r="E19" s="183"/>
      <c r="F19" s="292"/>
      <c r="G19" s="292"/>
      <c r="H19" s="305"/>
    </row>
    <row r="20" spans="1:8" s="260" customFormat="1" ht="22.5" customHeight="1">
      <c r="A20" s="299"/>
      <c r="B20" s="309"/>
      <c r="C20" s="309"/>
      <c r="D20" s="310"/>
      <c r="E20" s="189"/>
      <c r="F20" s="292"/>
      <c r="G20" s="292"/>
      <c r="H20" s="305"/>
    </row>
    <row r="21" spans="1:8" s="260" customFormat="1" ht="22.5" customHeight="1">
      <c r="A21" s="299"/>
      <c r="B21" s="309"/>
      <c r="C21" s="309"/>
      <c r="D21" s="310"/>
      <c r="E21" s="293"/>
      <c r="F21" s="295"/>
      <c r="G21" s="295"/>
      <c r="H21" s="311"/>
    </row>
    <row r="22" spans="1:8" s="260" customFormat="1" ht="22.5" customHeight="1">
      <c r="A22" s="285" t="s">
        <v>56</v>
      </c>
      <c r="B22" s="292">
        <f>SUM(B5:B14)</f>
        <v>2853222</v>
      </c>
      <c r="C22" s="292">
        <f>SUM(C5:C14)</f>
        <v>1939775</v>
      </c>
      <c r="D22" s="108">
        <f>B22/C22*100-100</f>
        <v>47.09035841785774</v>
      </c>
      <c r="E22" s="189" t="s">
        <v>57</v>
      </c>
      <c r="F22" s="292">
        <f>SUM(F5:F18)</f>
        <v>2619204</v>
      </c>
      <c r="G22" s="292">
        <f>SUM(G5:G19)</f>
        <v>2263437</v>
      </c>
      <c r="H22" s="305">
        <f>F22/G22*100-100</f>
        <v>15.717998777964667</v>
      </c>
    </row>
  </sheetData>
  <sheetProtection/>
  <mergeCells count="2">
    <mergeCell ref="A2:H2"/>
    <mergeCell ref="F3:G3"/>
  </mergeCells>
  <printOptions horizontalCentered="1"/>
  <pageMargins left="0.52" right="0.31" top="0.47" bottom="0.2" header="0.31" footer="0.4"/>
  <pageSetup horizontalDpi="600" verticalDpi="600" orientation="landscape" paperSize="9"/>
  <headerFooter scaleWithDoc="0" alignWithMargins="0">
    <oddFooter>&amp;C—&amp;P+44—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3"/>
  </sheetPr>
  <dimension ref="A1:K23"/>
  <sheetViews>
    <sheetView workbookViewId="0" topLeftCell="A1">
      <selection activeCell="E6" sqref="E6"/>
    </sheetView>
  </sheetViews>
  <sheetFormatPr defaultColWidth="9.00390625" defaultRowHeight="19.5" customHeight="1"/>
  <cols>
    <col min="1" max="1" width="27.875" style="0" customWidth="1"/>
    <col min="2" max="2" width="10.625" style="280" customWidth="1"/>
    <col min="3" max="3" width="11.625" style="280" customWidth="1"/>
    <col min="4" max="4" width="11.625" style="32" customWidth="1"/>
    <col min="5" max="5" width="26.625" style="32" customWidth="1"/>
    <col min="6" max="6" width="10.875" style="280" customWidth="1"/>
    <col min="7" max="7" width="10.75390625" style="280" customWidth="1"/>
    <col min="8" max="8" width="11.625" style="0" customWidth="1"/>
    <col min="9" max="9" width="9.00390625" style="0" hidden="1" customWidth="1"/>
    <col min="10" max="10" width="33.625" style="0" customWidth="1"/>
  </cols>
  <sheetData>
    <row r="1" spans="1:8" ht="14.25" customHeight="1">
      <c r="A1" s="7" t="s">
        <v>1343</v>
      </c>
      <c r="B1" s="168"/>
      <c r="C1" s="168"/>
      <c r="D1" s="287"/>
      <c r="F1" s="168"/>
      <c r="G1" s="168"/>
      <c r="H1" s="288"/>
    </row>
    <row r="2" spans="1:8" ht="23.25" customHeight="1">
      <c r="A2" s="200" t="s">
        <v>1344</v>
      </c>
      <c r="B2" s="200"/>
      <c r="C2" s="200"/>
      <c r="D2" s="200"/>
      <c r="E2" s="200"/>
      <c r="F2" s="200"/>
      <c r="G2" s="200"/>
      <c r="H2" s="200"/>
    </row>
    <row r="3" spans="1:8" ht="19.5" customHeight="1">
      <c r="A3" s="201"/>
      <c r="B3" s="168"/>
      <c r="C3" s="168"/>
      <c r="D3" s="287"/>
      <c r="F3" s="168"/>
      <c r="G3" s="168"/>
      <c r="H3" s="289" t="s">
        <v>6</v>
      </c>
    </row>
    <row r="4" spans="1:8" s="269" customFormat="1" ht="27" customHeight="1">
      <c r="A4" s="285" t="s">
        <v>7</v>
      </c>
      <c r="B4" s="182" t="s">
        <v>8</v>
      </c>
      <c r="C4" s="182" t="s">
        <v>9</v>
      </c>
      <c r="D4" s="189" t="s">
        <v>10</v>
      </c>
      <c r="E4" s="189" t="s">
        <v>11</v>
      </c>
      <c r="F4" s="182" t="s">
        <v>8</v>
      </c>
      <c r="G4" s="182" t="s">
        <v>9</v>
      </c>
      <c r="H4" s="290" t="s">
        <v>10</v>
      </c>
    </row>
    <row r="5" spans="1:8" s="260" customFormat="1" ht="21.75" customHeight="1">
      <c r="A5" s="183" t="s">
        <v>1319</v>
      </c>
      <c r="B5" s="291">
        <v>315</v>
      </c>
      <c r="C5" s="292">
        <v>1204</v>
      </c>
      <c r="D5" s="108">
        <f>B5/C5*100-100</f>
        <v>-73.83720930232558</v>
      </c>
      <c r="E5" s="183" t="s">
        <v>1320</v>
      </c>
      <c r="F5" s="292">
        <v>68</v>
      </c>
      <c r="G5" s="292">
        <v>69</v>
      </c>
      <c r="H5" s="108">
        <f>F5/G5*100-100</f>
        <v>-1.4492753623188293</v>
      </c>
    </row>
    <row r="6" spans="1:8" s="260" customFormat="1" ht="21.75" customHeight="1">
      <c r="A6" s="183" t="s">
        <v>1321</v>
      </c>
      <c r="B6" s="291">
        <v>360</v>
      </c>
      <c r="C6" s="292">
        <v>3460</v>
      </c>
      <c r="D6" s="108">
        <f>B6/C6*100-100</f>
        <v>-89.59537572254335</v>
      </c>
      <c r="E6" s="183" t="s">
        <v>1322</v>
      </c>
      <c r="F6" s="292"/>
      <c r="G6" s="292">
        <v>6</v>
      </c>
      <c r="H6" s="108">
        <f>F6/G6*100-100</f>
        <v>-100</v>
      </c>
    </row>
    <row r="7" spans="1:8" s="260" customFormat="1" ht="21.75" customHeight="1">
      <c r="A7" s="183" t="s">
        <v>1323</v>
      </c>
      <c r="B7" s="291"/>
      <c r="C7" s="292">
        <v>21374</v>
      </c>
      <c r="D7" s="108"/>
      <c r="E7" s="183" t="s">
        <v>1324</v>
      </c>
      <c r="F7" s="292"/>
      <c r="G7" s="292">
        <v>8295</v>
      </c>
      <c r="H7" s="108"/>
    </row>
    <row r="8" spans="1:8" s="260" customFormat="1" ht="21.75" customHeight="1">
      <c r="A8" s="183" t="s">
        <v>1345</v>
      </c>
      <c r="B8" s="291">
        <v>4499</v>
      </c>
      <c r="C8" s="292">
        <v>12328</v>
      </c>
      <c r="D8" s="108">
        <f aca="true" t="shared" si="0" ref="D8:D14">B8/C8*100-100</f>
        <v>-63.50584036340039</v>
      </c>
      <c r="E8" s="183" t="s">
        <v>1346</v>
      </c>
      <c r="F8" s="292">
        <v>1755063</v>
      </c>
      <c r="G8" s="292">
        <v>1394938</v>
      </c>
      <c r="H8" s="108">
        <f aca="true" t="shared" si="1" ref="H8:H13">F8/G8*100-100</f>
        <v>25.81655958902833</v>
      </c>
    </row>
    <row r="9" spans="1:9" s="260" customFormat="1" ht="21.75" customHeight="1">
      <c r="A9" s="183" t="s">
        <v>1327</v>
      </c>
      <c r="B9" s="291">
        <v>1881606</v>
      </c>
      <c r="C9" s="292">
        <v>1181963</v>
      </c>
      <c r="D9" s="108">
        <f t="shared" si="0"/>
        <v>59.19330808155584</v>
      </c>
      <c r="E9" s="183" t="s">
        <v>1328</v>
      </c>
      <c r="F9" s="292">
        <v>4636</v>
      </c>
      <c r="G9" s="292">
        <v>2748</v>
      </c>
      <c r="H9" s="108">
        <f t="shared" si="1"/>
        <v>68.70451237263464</v>
      </c>
      <c r="I9" s="260">
        <f>SUM(B9:B11)/SUM(C9:C11)*100-100</f>
        <v>62.25458072720667</v>
      </c>
    </row>
    <row r="10" spans="1:8" s="260" customFormat="1" ht="21.75" customHeight="1">
      <c r="A10" s="266" t="s">
        <v>1329</v>
      </c>
      <c r="B10" s="291">
        <v>114266</v>
      </c>
      <c r="C10" s="292">
        <v>47861</v>
      </c>
      <c r="D10" s="108">
        <f t="shared" si="0"/>
        <v>138.74553394204048</v>
      </c>
      <c r="E10" s="183" t="s">
        <v>1330</v>
      </c>
      <c r="F10" s="292">
        <v>115147</v>
      </c>
      <c r="G10" s="292">
        <v>64055</v>
      </c>
      <c r="H10" s="108">
        <f t="shared" si="1"/>
        <v>79.76270392631332</v>
      </c>
    </row>
    <row r="11" spans="1:8" s="260" customFormat="1" ht="21.75" customHeight="1">
      <c r="A11" s="266" t="s">
        <v>1331</v>
      </c>
      <c r="B11" s="291">
        <v>4714</v>
      </c>
      <c r="C11" s="292">
        <v>3168</v>
      </c>
      <c r="D11" s="108">
        <f t="shared" si="0"/>
        <v>48.80050505050505</v>
      </c>
      <c r="E11" s="183" t="s">
        <v>1332</v>
      </c>
      <c r="F11" s="292">
        <v>153</v>
      </c>
      <c r="G11" s="292">
        <v>340</v>
      </c>
      <c r="H11" s="108">
        <f t="shared" si="1"/>
        <v>-55</v>
      </c>
    </row>
    <row r="12" spans="1:8" s="260" customFormat="1" ht="21.75" customHeight="1">
      <c r="A12" s="183" t="s">
        <v>1333</v>
      </c>
      <c r="B12" s="291">
        <v>24000</v>
      </c>
      <c r="C12" s="292">
        <v>23000</v>
      </c>
      <c r="D12" s="108">
        <f t="shared" si="0"/>
        <v>4.347826086956516</v>
      </c>
      <c r="E12" s="183" t="s">
        <v>1334</v>
      </c>
      <c r="F12" s="292">
        <v>1787</v>
      </c>
      <c r="G12" s="292">
        <v>29</v>
      </c>
      <c r="H12" s="108">
        <f t="shared" si="1"/>
        <v>6062.068965517241</v>
      </c>
    </row>
    <row r="13" spans="1:8" s="260" customFormat="1" ht="21.75" customHeight="1">
      <c r="A13" s="183" t="s">
        <v>1335</v>
      </c>
      <c r="B13" s="291">
        <v>7664</v>
      </c>
      <c r="C13" s="292">
        <v>6563</v>
      </c>
      <c r="D13" s="108">
        <f t="shared" si="0"/>
        <v>16.775864696023163</v>
      </c>
      <c r="E13" s="183" t="s">
        <v>1336</v>
      </c>
      <c r="F13" s="292">
        <v>14341</v>
      </c>
      <c r="G13" s="292">
        <v>6057</v>
      </c>
      <c r="H13" s="108">
        <f t="shared" si="1"/>
        <v>136.7673765890705</v>
      </c>
    </row>
    <row r="14" spans="1:8" s="260" customFormat="1" ht="21.75" customHeight="1">
      <c r="A14" s="183" t="s">
        <v>1337</v>
      </c>
      <c r="B14" s="291">
        <v>25499</v>
      </c>
      <c r="C14" s="292">
        <v>14094</v>
      </c>
      <c r="D14" s="108">
        <f t="shared" si="0"/>
        <v>80.92095927344968</v>
      </c>
      <c r="E14" s="183" t="s">
        <v>1338</v>
      </c>
      <c r="F14" s="292"/>
      <c r="G14" s="292"/>
      <c r="H14" s="108"/>
    </row>
    <row r="15" spans="1:8" s="260" customFormat="1" ht="21.75" customHeight="1">
      <c r="A15" s="293"/>
      <c r="B15" s="187"/>
      <c r="C15" s="294"/>
      <c r="D15" s="108"/>
      <c r="E15" s="183" t="s">
        <v>1339</v>
      </c>
      <c r="F15" s="292">
        <v>135</v>
      </c>
      <c r="G15" s="292">
        <v>87</v>
      </c>
      <c r="H15" s="108">
        <f aca="true" t="shared" si="2" ref="H15:H18">F15/G15*100-100</f>
        <v>55.17241379310346</v>
      </c>
    </row>
    <row r="16" spans="1:8" s="260" customFormat="1" ht="21.75" customHeight="1">
      <c r="A16" s="293"/>
      <c r="B16" s="187"/>
      <c r="C16" s="294"/>
      <c r="D16" s="108"/>
      <c r="E16" s="183" t="s">
        <v>1340</v>
      </c>
      <c r="F16" s="292">
        <v>173</v>
      </c>
      <c r="G16" s="292">
        <v>173</v>
      </c>
      <c r="H16" s="108">
        <f t="shared" si="2"/>
        <v>0</v>
      </c>
    </row>
    <row r="17" spans="1:8" s="260" customFormat="1" ht="21.75" customHeight="1">
      <c r="A17" s="293"/>
      <c r="B17" s="187"/>
      <c r="C17" s="294"/>
      <c r="D17" s="108"/>
      <c r="E17" s="183" t="s">
        <v>1341</v>
      </c>
      <c r="F17" s="292">
        <v>7835</v>
      </c>
      <c r="G17" s="292">
        <v>6280</v>
      </c>
      <c r="H17" s="108">
        <f t="shared" si="2"/>
        <v>24.761146496815286</v>
      </c>
    </row>
    <row r="18" spans="1:8" s="260" customFormat="1" ht="21.75" customHeight="1">
      <c r="A18" s="293"/>
      <c r="B18" s="187"/>
      <c r="C18" s="294"/>
      <c r="D18" s="108"/>
      <c r="E18" s="183" t="s">
        <v>1342</v>
      </c>
      <c r="F18" s="292">
        <v>15404</v>
      </c>
      <c r="G18" s="292">
        <v>7062</v>
      </c>
      <c r="H18" s="108">
        <f t="shared" si="2"/>
        <v>118.12517700368167</v>
      </c>
    </row>
    <row r="19" spans="1:11" s="260" customFormat="1" ht="21.75" customHeight="1">
      <c r="A19" s="293"/>
      <c r="B19" s="187"/>
      <c r="C19" s="294"/>
      <c r="D19" s="108"/>
      <c r="E19" s="183"/>
      <c r="F19" s="292"/>
      <c r="G19" s="292"/>
      <c r="H19" s="108"/>
      <c r="J19" s="301"/>
      <c r="K19" s="301"/>
    </row>
    <row r="20" spans="1:11" s="260" customFormat="1" ht="21.75" customHeight="1">
      <c r="A20" s="293"/>
      <c r="B20" s="294"/>
      <c r="C20" s="294"/>
      <c r="D20" s="108"/>
      <c r="E20" s="293"/>
      <c r="F20" s="295"/>
      <c r="G20" s="295"/>
      <c r="H20" s="296"/>
      <c r="J20" s="301"/>
      <c r="K20" s="301"/>
    </row>
    <row r="21" spans="1:11" s="260" customFormat="1" ht="21.75" customHeight="1">
      <c r="A21" s="293"/>
      <c r="B21" s="294"/>
      <c r="C21" s="294"/>
      <c r="D21" s="108"/>
      <c r="E21" s="297"/>
      <c r="F21" s="298"/>
      <c r="G21" s="298"/>
      <c r="H21" s="299"/>
      <c r="J21" s="301"/>
      <c r="K21" s="301"/>
    </row>
    <row r="22" spans="1:11" s="260" customFormat="1" ht="21.75" customHeight="1">
      <c r="A22" s="175" t="s">
        <v>56</v>
      </c>
      <c r="B22" s="292">
        <f>SUM(B5:B14)</f>
        <v>2062923</v>
      </c>
      <c r="C22" s="292">
        <f>SUM(C5:C14)</f>
        <v>1315015</v>
      </c>
      <c r="D22" s="108">
        <f>B22/C22*100-100</f>
        <v>56.87448432147161</v>
      </c>
      <c r="E22" s="189" t="s">
        <v>57</v>
      </c>
      <c r="F22" s="292">
        <f>SUM(F5:F18)</f>
        <v>1914742</v>
      </c>
      <c r="G22" s="292">
        <f>SUM(G5:G18)</f>
        <v>1490139</v>
      </c>
      <c r="H22" s="108">
        <f>F22/G22*100-100</f>
        <v>28.494187454995824</v>
      </c>
      <c r="J22" s="301"/>
      <c r="K22" s="301"/>
    </row>
    <row r="23" spans="1:11" s="260" customFormat="1" ht="16.5" customHeight="1">
      <c r="A23" s="300"/>
      <c r="B23" s="280"/>
      <c r="C23" s="280"/>
      <c r="D23" s="32"/>
      <c r="E23" s="32"/>
      <c r="F23" s="280"/>
      <c r="G23" s="280"/>
      <c r="H23"/>
      <c r="J23" s="301"/>
      <c r="K23" s="301"/>
    </row>
  </sheetData>
  <sheetProtection/>
  <mergeCells count="1">
    <mergeCell ref="A2:H2"/>
  </mergeCells>
  <printOptions horizontalCentered="1" verticalCentered="1"/>
  <pageMargins left="0.59" right="0.39" top="0.53" bottom="0.49" header="0.96" footer="0.35"/>
  <pageSetup horizontalDpi="600" verticalDpi="600" orientation="landscape" paperSize="9"/>
  <headerFooter scaleWithDoc="0" alignWithMargins="0">
    <oddFooter>&amp;C—&amp;P+45—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3"/>
  </sheetPr>
  <dimension ref="A1:J17"/>
  <sheetViews>
    <sheetView showZeros="0" workbookViewId="0" topLeftCell="A1">
      <selection activeCell="E5" sqref="E5"/>
    </sheetView>
  </sheetViews>
  <sheetFormatPr defaultColWidth="9.00390625" defaultRowHeight="19.5" customHeight="1"/>
  <cols>
    <col min="1" max="1" width="26.50390625" style="0" customWidth="1"/>
    <col min="2" max="2" width="10.625" style="280" customWidth="1"/>
    <col min="3" max="3" width="9.625" style="280" customWidth="1"/>
    <col min="4" max="4" width="10.625" style="30" customWidth="1"/>
    <col min="5" max="5" width="9.625" style="280" customWidth="1"/>
    <col min="6" max="6" width="10.625" style="280" customWidth="1"/>
    <col min="7" max="7" width="10.625" style="30" customWidth="1"/>
    <col min="8" max="9" width="10.625" style="280" customWidth="1"/>
    <col min="10" max="10" width="10.625" style="55" customWidth="1"/>
  </cols>
  <sheetData>
    <row r="1" spans="1:10" ht="20.25" customHeight="1">
      <c r="A1" s="7" t="s">
        <v>1347</v>
      </c>
      <c r="B1" s="168"/>
      <c r="C1" s="168"/>
      <c r="D1" s="169"/>
      <c r="E1" s="168"/>
      <c r="F1" s="168"/>
      <c r="G1" s="169"/>
      <c r="H1" s="168"/>
      <c r="I1" s="168"/>
      <c r="J1" s="262"/>
    </row>
    <row r="2" spans="1:10" ht="27" customHeight="1">
      <c r="A2" s="200" t="s">
        <v>1348</v>
      </c>
      <c r="B2" s="200"/>
      <c r="C2" s="200"/>
      <c r="D2" s="200"/>
      <c r="E2" s="200"/>
      <c r="F2" s="200"/>
      <c r="G2" s="200"/>
      <c r="H2" s="200"/>
      <c r="I2" s="200"/>
      <c r="J2" s="200"/>
    </row>
    <row r="3" spans="1:10" ht="19.5" customHeight="1">
      <c r="A3" s="201"/>
      <c r="B3" s="168"/>
      <c r="C3" s="168"/>
      <c r="D3" s="169"/>
      <c r="E3" s="168"/>
      <c r="F3" s="168"/>
      <c r="G3" s="169"/>
      <c r="H3" s="168"/>
      <c r="I3" s="168"/>
      <c r="J3" s="286" t="s">
        <v>6</v>
      </c>
    </row>
    <row r="4" spans="1:10" s="269" customFormat="1" ht="24" customHeight="1">
      <c r="A4" s="281" t="s">
        <v>7</v>
      </c>
      <c r="B4" s="231" t="s">
        <v>87</v>
      </c>
      <c r="C4" s="272"/>
      <c r="D4" s="246"/>
      <c r="E4" s="231" t="s">
        <v>88</v>
      </c>
      <c r="F4" s="272"/>
      <c r="G4" s="246"/>
      <c r="H4" s="273" t="s">
        <v>89</v>
      </c>
      <c r="I4" s="277"/>
      <c r="J4" s="278"/>
    </row>
    <row r="5" spans="1:10" s="269" customFormat="1" ht="48" customHeight="1">
      <c r="A5" s="282"/>
      <c r="B5" s="182" t="s">
        <v>8</v>
      </c>
      <c r="C5" s="182" t="s">
        <v>9</v>
      </c>
      <c r="D5" s="111" t="s">
        <v>10</v>
      </c>
      <c r="E5" s="182" t="s">
        <v>8</v>
      </c>
      <c r="F5" s="182" t="s">
        <v>9</v>
      </c>
      <c r="G5" s="111" t="s">
        <v>10</v>
      </c>
      <c r="H5" s="182" t="s">
        <v>8</v>
      </c>
      <c r="I5" s="182" t="s">
        <v>9</v>
      </c>
      <c r="J5" s="279" t="s">
        <v>10</v>
      </c>
    </row>
    <row r="6" spans="1:10" s="260" customFormat="1" ht="25.5" customHeight="1">
      <c r="A6" s="183" t="s">
        <v>1319</v>
      </c>
      <c r="B6" s="283">
        <v>48</v>
      </c>
      <c r="C6" s="187"/>
      <c r="D6" s="108"/>
      <c r="E6" s="283">
        <v>0</v>
      </c>
      <c r="F6" s="187"/>
      <c r="G6" s="108"/>
      <c r="H6" s="283">
        <v>0</v>
      </c>
      <c r="I6" s="187"/>
      <c r="J6" s="205"/>
    </row>
    <row r="7" spans="1:10" s="260" customFormat="1" ht="25.5" customHeight="1">
      <c r="A7" s="183" t="s">
        <v>1321</v>
      </c>
      <c r="B7" s="283">
        <v>355</v>
      </c>
      <c r="C7" s="187"/>
      <c r="D7" s="108"/>
      <c r="E7" s="283"/>
      <c r="F7" s="187">
        <v>500</v>
      </c>
      <c r="G7" s="108"/>
      <c r="H7" s="283">
        <v>0</v>
      </c>
      <c r="I7" s="187"/>
      <c r="J7" s="108"/>
    </row>
    <row r="8" spans="1:10" s="260" customFormat="1" ht="25.5" customHeight="1">
      <c r="A8" s="183" t="s">
        <v>1323</v>
      </c>
      <c r="B8" s="283">
        <v>0</v>
      </c>
      <c r="C8" s="187"/>
      <c r="D8" s="108"/>
      <c r="E8" s="283"/>
      <c r="F8" s="187">
        <v>334</v>
      </c>
      <c r="G8" s="108"/>
      <c r="H8" s="283">
        <v>0</v>
      </c>
      <c r="I8" s="187"/>
      <c r="J8" s="108"/>
    </row>
    <row r="9" spans="1:10" s="260" customFormat="1" ht="25.5" customHeight="1">
      <c r="A9" s="183" t="s">
        <v>1345</v>
      </c>
      <c r="B9" s="283">
        <v>0</v>
      </c>
      <c r="C9" s="187"/>
      <c r="D9" s="108"/>
      <c r="E9" s="283"/>
      <c r="F9" s="187"/>
      <c r="G9" s="108"/>
      <c r="H9" s="283">
        <v>0</v>
      </c>
      <c r="I9" s="187"/>
      <c r="J9" s="108"/>
    </row>
    <row r="10" spans="1:10" s="260" customFormat="1" ht="25.5" customHeight="1">
      <c r="A10" s="183" t="s">
        <v>1327</v>
      </c>
      <c r="B10" s="283">
        <v>30471</v>
      </c>
      <c r="C10" s="182">
        <f>35845+385</f>
        <v>36230</v>
      </c>
      <c r="D10" s="108">
        <f aca="true" t="shared" si="0" ref="D10:D12">B10/C10*100-100</f>
        <v>-15.895666574661888</v>
      </c>
      <c r="E10" s="283">
        <v>15945</v>
      </c>
      <c r="F10" s="187">
        <v>24021</v>
      </c>
      <c r="G10" s="108">
        <f aca="true" t="shared" si="1" ref="G10:G12">E10/F10*100-100</f>
        <v>-33.6205819907581</v>
      </c>
      <c r="H10" s="283">
        <v>4117</v>
      </c>
      <c r="I10" s="187">
        <v>38953</v>
      </c>
      <c r="J10" s="108">
        <f>H10/I10*100-100</f>
        <v>-89.43085256591277</v>
      </c>
    </row>
    <row r="11" spans="1:10" s="260" customFormat="1" ht="25.5" customHeight="1">
      <c r="A11" s="266" t="s">
        <v>1329</v>
      </c>
      <c r="B11" s="283">
        <v>1424</v>
      </c>
      <c r="C11" s="284">
        <f>1920+27</f>
        <v>1947</v>
      </c>
      <c r="D11" s="108">
        <f t="shared" si="0"/>
        <v>-26.86183872624551</v>
      </c>
      <c r="E11" s="283">
        <v>759</v>
      </c>
      <c r="F11" s="187">
        <v>1016</v>
      </c>
      <c r="G11" s="108">
        <f t="shared" si="1"/>
        <v>-25.295275590551185</v>
      </c>
      <c r="H11" s="283">
        <v>0</v>
      </c>
      <c r="I11" s="187"/>
      <c r="J11" s="108"/>
    </row>
    <row r="12" spans="1:10" s="260" customFormat="1" ht="25.5" customHeight="1">
      <c r="A12" s="266" t="s">
        <v>1331</v>
      </c>
      <c r="B12" s="283">
        <v>1552</v>
      </c>
      <c r="C12" s="284">
        <f>2081+26</f>
        <v>2107</v>
      </c>
      <c r="D12" s="108">
        <f t="shared" si="0"/>
        <v>-26.340768865685803</v>
      </c>
      <c r="E12" s="283">
        <v>1017</v>
      </c>
      <c r="F12" s="187">
        <v>1696</v>
      </c>
      <c r="G12" s="108">
        <f t="shared" si="1"/>
        <v>-40.035377358490564</v>
      </c>
      <c r="H12" s="283">
        <v>0</v>
      </c>
      <c r="I12" s="187"/>
      <c r="J12" s="108"/>
    </row>
    <row r="13" spans="1:10" s="260" customFormat="1" ht="25.5" customHeight="1">
      <c r="A13" s="183" t="s">
        <v>1333</v>
      </c>
      <c r="B13" s="283">
        <v>2112</v>
      </c>
      <c r="C13" s="187"/>
      <c r="D13" s="108"/>
      <c r="E13" s="283"/>
      <c r="F13" s="187"/>
      <c r="G13" s="108"/>
      <c r="H13" s="283">
        <v>0</v>
      </c>
      <c r="I13" s="187"/>
      <c r="J13" s="108"/>
    </row>
    <row r="14" spans="1:10" s="260" customFormat="1" ht="25.5" customHeight="1">
      <c r="A14" s="183" t="s">
        <v>1335</v>
      </c>
      <c r="B14" s="283">
        <v>0</v>
      </c>
      <c r="C14" s="187"/>
      <c r="D14" s="108"/>
      <c r="E14" s="283">
        <v>0</v>
      </c>
      <c r="F14" s="187"/>
      <c r="G14" s="108"/>
      <c r="H14" s="283">
        <v>0</v>
      </c>
      <c r="I14" s="187"/>
      <c r="J14" s="108"/>
    </row>
    <row r="15" spans="1:10" s="260" customFormat="1" ht="25.5" customHeight="1">
      <c r="A15" s="183" t="s">
        <v>1337</v>
      </c>
      <c r="B15" s="283">
        <v>0</v>
      </c>
      <c r="C15" s="187">
        <v>0</v>
      </c>
      <c r="D15" s="108"/>
      <c r="E15" s="283">
        <v>0</v>
      </c>
      <c r="F15" s="187"/>
      <c r="G15" s="108"/>
      <c r="H15" s="283">
        <v>0</v>
      </c>
      <c r="I15" s="187"/>
      <c r="J15" s="108"/>
    </row>
    <row r="16" spans="1:10" s="260" customFormat="1" ht="25.5" customHeight="1">
      <c r="A16" s="203"/>
      <c r="B16" s="187"/>
      <c r="C16" s="187"/>
      <c r="D16" s="108"/>
      <c r="E16" s="187"/>
      <c r="F16" s="187"/>
      <c r="G16" s="108"/>
      <c r="H16" s="187"/>
      <c r="I16" s="187"/>
      <c r="J16" s="205"/>
    </row>
    <row r="17" spans="1:10" s="260" customFormat="1" ht="25.5" customHeight="1">
      <c r="A17" s="285" t="s">
        <v>56</v>
      </c>
      <c r="B17" s="187">
        <f aca="true" t="shared" si="2" ref="B17:F17">SUM(B6:B15)</f>
        <v>35962</v>
      </c>
      <c r="C17" s="187">
        <f t="shared" si="2"/>
        <v>40284</v>
      </c>
      <c r="D17" s="108">
        <f>B17/C17*100-100</f>
        <v>-10.728825340085393</v>
      </c>
      <c r="E17" s="187">
        <f t="shared" si="2"/>
        <v>17721</v>
      </c>
      <c r="F17" s="187">
        <f t="shared" si="2"/>
        <v>27567</v>
      </c>
      <c r="G17" s="108">
        <f>E17/F17*100-100</f>
        <v>-35.7166176950702</v>
      </c>
      <c r="H17" s="187">
        <f>SUM(H6:H15)</f>
        <v>4117</v>
      </c>
      <c r="I17" s="187">
        <f>SUM(I6:I15)</f>
        <v>38953</v>
      </c>
      <c r="J17" s="108">
        <f>H17/I17*100-100</f>
        <v>-89.43085256591277</v>
      </c>
    </row>
  </sheetData>
  <sheetProtection/>
  <mergeCells count="5">
    <mergeCell ref="A2:J2"/>
    <mergeCell ref="B4:D4"/>
    <mergeCell ref="E4:G4"/>
    <mergeCell ref="H4:J4"/>
    <mergeCell ref="A4:A5"/>
  </mergeCells>
  <printOptions horizontalCentered="1" verticalCentered="1"/>
  <pageMargins left="0.79" right="0.41" top="0.2" bottom="0.31" header="0.39" footer="0.4"/>
  <pageSetup horizontalDpi="600" verticalDpi="600" orientation="landscape" paperSize="9"/>
  <headerFooter scaleWithDoc="0" alignWithMargins="0">
    <oddFooter>&amp;C—&amp;P+46—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3"/>
  </sheetPr>
  <dimension ref="A1:J20"/>
  <sheetViews>
    <sheetView showZeros="0" workbookViewId="0" topLeftCell="A1">
      <selection activeCell="A2" sqref="A2:J2"/>
    </sheetView>
  </sheetViews>
  <sheetFormatPr defaultColWidth="9.00390625" defaultRowHeight="19.5" customHeight="1"/>
  <cols>
    <col min="1" max="1" width="26.375" style="0" customWidth="1"/>
    <col min="2" max="3" width="10.625" style="168" customWidth="1"/>
    <col min="4" max="4" width="10.625" style="169" customWidth="1"/>
    <col min="5" max="6" width="10.625" style="168" customWidth="1"/>
    <col min="7" max="7" width="10.625" style="169" customWidth="1"/>
    <col min="8" max="9" width="10.625" style="168" customWidth="1"/>
    <col min="10" max="10" width="10.625" style="262" customWidth="1"/>
  </cols>
  <sheetData>
    <row r="1" ht="20.25" customHeight="1">
      <c r="A1" s="7" t="s">
        <v>1349</v>
      </c>
    </row>
    <row r="2" spans="1:10" ht="27" customHeight="1">
      <c r="A2" s="200" t="s">
        <v>1350</v>
      </c>
      <c r="B2" s="200"/>
      <c r="C2" s="200"/>
      <c r="D2" s="200"/>
      <c r="E2" s="200"/>
      <c r="F2" s="200"/>
      <c r="G2" s="200"/>
      <c r="H2" s="200"/>
      <c r="I2" s="200"/>
      <c r="J2" s="200"/>
    </row>
    <row r="3" spans="1:10" ht="19.5" customHeight="1">
      <c r="A3" s="201"/>
      <c r="J3" s="112" t="s">
        <v>6</v>
      </c>
    </row>
    <row r="4" spans="1:10" s="269" customFormat="1" ht="21" customHeight="1">
      <c r="A4" s="271" t="s">
        <v>11</v>
      </c>
      <c r="B4" s="231" t="s">
        <v>87</v>
      </c>
      <c r="C4" s="272"/>
      <c r="D4" s="246"/>
      <c r="E4" s="231" t="s">
        <v>88</v>
      </c>
      <c r="F4" s="272"/>
      <c r="G4" s="246"/>
      <c r="H4" s="273" t="s">
        <v>89</v>
      </c>
      <c r="I4" s="277"/>
      <c r="J4" s="278"/>
    </row>
    <row r="5" spans="1:10" s="269" customFormat="1" ht="35.25" customHeight="1">
      <c r="A5" s="274"/>
      <c r="B5" s="182" t="s">
        <v>8</v>
      </c>
      <c r="C5" s="182" t="s">
        <v>9</v>
      </c>
      <c r="D5" s="111" t="s">
        <v>10</v>
      </c>
      <c r="E5" s="182" t="s">
        <v>8</v>
      </c>
      <c r="F5" s="182" t="s">
        <v>9</v>
      </c>
      <c r="G5" s="111" t="s">
        <v>10</v>
      </c>
      <c r="H5" s="182" t="s">
        <v>8</v>
      </c>
      <c r="I5" s="182" t="s">
        <v>9</v>
      </c>
      <c r="J5" s="279" t="s">
        <v>10</v>
      </c>
    </row>
    <row r="6" spans="1:10" s="260" customFormat="1" ht="24.75" customHeight="1">
      <c r="A6" s="183" t="s">
        <v>1320</v>
      </c>
      <c r="B6" s="275"/>
      <c r="C6" s="187"/>
      <c r="D6" s="108"/>
      <c r="E6" s="275">
        <v>0</v>
      </c>
      <c r="F6" s="187"/>
      <c r="G6" s="108"/>
      <c r="H6" s="275">
        <v>0</v>
      </c>
      <c r="I6" s="187"/>
      <c r="J6" s="108"/>
    </row>
    <row r="7" spans="1:10" s="260" customFormat="1" ht="24.75" customHeight="1">
      <c r="A7" s="183" t="s">
        <v>1322</v>
      </c>
      <c r="B7" s="275"/>
      <c r="C7" s="187">
        <v>10</v>
      </c>
      <c r="D7" s="108"/>
      <c r="E7" s="275">
        <v>0</v>
      </c>
      <c r="F7" s="187"/>
      <c r="G7" s="108"/>
      <c r="H7" s="275">
        <v>0</v>
      </c>
      <c r="I7" s="187"/>
      <c r="J7" s="108"/>
    </row>
    <row r="8" spans="1:10" s="260" customFormat="1" ht="24.75" customHeight="1">
      <c r="A8" s="183" t="s">
        <v>1324</v>
      </c>
      <c r="B8" s="275"/>
      <c r="C8" s="187"/>
      <c r="D8" s="108"/>
      <c r="E8" s="275">
        <v>0</v>
      </c>
      <c r="F8" s="187"/>
      <c r="G8" s="108"/>
      <c r="H8" s="275">
        <v>0</v>
      </c>
      <c r="I8" s="187"/>
      <c r="J8" s="108"/>
    </row>
    <row r="9" spans="1:10" s="260" customFormat="1" ht="24.75" customHeight="1">
      <c r="A9" s="183" t="s">
        <v>1346</v>
      </c>
      <c r="B9" s="275">
        <v>36732</v>
      </c>
      <c r="C9" s="187">
        <f>39613+134</f>
        <v>39747</v>
      </c>
      <c r="D9" s="108">
        <f aca="true" t="shared" si="0" ref="D9:D12">B9/C9*100-100</f>
        <v>-7.585478149294289</v>
      </c>
      <c r="E9" s="275">
        <v>21028</v>
      </c>
      <c r="F9" s="187">
        <v>27937</v>
      </c>
      <c r="G9" s="108">
        <f aca="true" t="shared" si="1" ref="G9:G12">E9/F9*100-100</f>
        <v>-24.73064394888499</v>
      </c>
      <c r="H9" s="275">
        <v>4310</v>
      </c>
      <c r="I9" s="187">
        <v>38162</v>
      </c>
      <c r="J9" s="108">
        <f>H9/I9*100-100</f>
        <v>-88.70604266023793</v>
      </c>
    </row>
    <row r="10" spans="1:10" s="260" customFormat="1" ht="24.75" customHeight="1">
      <c r="A10" s="183" t="s">
        <v>1328</v>
      </c>
      <c r="B10" s="275"/>
      <c r="C10" s="187"/>
      <c r="D10" s="108"/>
      <c r="E10" s="275">
        <v>0</v>
      </c>
      <c r="F10" s="187"/>
      <c r="G10" s="108"/>
      <c r="H10" s="275">
        <v>0</v>
      </c>
      <c r="I10" s="187"/>
      <c r="J10" s="108"/>
    </row>
    <row r="11" spans="1:10" s="260" customFormat="1" ht="24.75" customHeight="1">
      <c r="A11" s="183" t="s">
        <v>1330</v>
      </c>
      <c r="B11" s="275">
        <v>447</v>
      </c>
      <c r="C11" s="187">
        <v>8433</v>
      </c>
      <c r="D11" s="108">
        <f t="shared" si="0"/>
        <v>-94.69939523301316</v>
      </c>
      <c r="E11" s="275">
        <v>870</v>
      </c>
      <c r="F11" s="187">
        <v>2523</v>
      </c>
      <c r="G11" s="108">
        <f t="shared" si="1"/>
        <v>-65.51724137931035</v>
      </c>
      <c r="H11" s="275">
        <v>0</v>
      </c>
      <c r="I11" s="187"/>
      <c r="J11" s="108"/>
    </row>
    <row r="12" spans="1:10" s="260" customFormat="1" ht="24.75" customHeight="1">
      <c r="A12" s="183" t="s">
        <v>1332</v>
      </c>
      <c r="B12" s="275">
        <v>1047</v>
      </c>
      <c r="C12" s="187">
        <f>1249+30</f>
        <v>1279</v>
      </c>
      <c r="D12" s="108">
        <f t="shared" si="0"/>
        <v>-18.1391712275215</v>
      </c>
      <c r="E12" s="275">
        <v>1200</v>
      </c>
      <c r="F12" s="187">
        <v>6064</v>
      </c>
      <c r="G12" s="108">
        <f t="shared" si="1"/>
        <v>-80.21108179419525</v>
      </c>
      <c r="H12" s="275">
        <v>0</v>
      </c>
      <c r="I12" s="190"/>
      <c r="J12" s="108"/>
    </row>
    <row r="13" spans="1:10" s="260" customFormat="1" ht="24.75" customHeight="1">
      <c r="A13" s="183" t="s">
        <v>1334</v>
      </c>
      <c r="B13" s="275"/>
      <c r="C13" s="187"/>
      <c r="D13" s="108"/>
      <c r="E13" s="275"/>
      <c r="F13" s="187">
        <v>5631</v>
      </c>
      <c r="G13" s="108"/>
      <c r="H13" s="275">
        <v>0</v>
      </c>
      <c r="I13" s="187"/>
      <c r="J13" s="108"/>
    </row>
    <row r="14" spans="1:10" s="260" customFormat="1" ht="24.75" customHeight="1">
      <c r="A14" s="183" t="s">
        <v>1336</v>
      </c>
      <c r="B14" s="275"/>
      <c r="C14" s="187"/>
      <c r="D14" s="108"/>
      <c r="E14" s="275"/>
      <c r="F14" s="187">
        <v>100</v>
      </c>
      <c r="G14" s="108"/>
      <c r="H14" s="275">
        <v>0</v>
      </c>
      <c r="I14" s="187"/>
      <c r="J14" s="108"/>
    </row>
    <row r="15" spans="1:10" s="260" customFormat="1" ht="24.75" customHeight="1">
      <c r="A15" s="183" t="s">
        <v>1338</v>
      </c>
      <c r="B15" s="275"/>
      <c r="C15" s="187"/>
      <c r="D15" s="108"/>
      <c r="E15" s="275"/>
      <c r="F15" s="187"/>
      <c r="G15" s="108"/>
      <c r="H15" s="275">
        <v>0</v>
      </c>
      <c r="I15" s="187"/>
      <c r="J15" s="108"/>
    </row>
    <row r="16" spans="1:10" s="260" customFormat="1" ht="24.75" customHeight="1">
      <c r="A16" s="183" t="s">
        <v>1339</v>
      </c>
      <c r="B16" s="275">
        <v>4</v>
      </c>
      <c r="C16" s="187">
        <v>164</v>
      </c>
      <c r="D16" s="108">
        <f aca="true" t="shared" si="2" ref="D16:D20">B16/C16*100-100</f>
        <v>-97.5609756097561</v>
      </c>
      <c r="E16" s="275"/>
      <c r="F16" s="187"/>
      <c r="G16" s="108"/>
      <c r="H16" s="275">
        <v>46</v>
      </c>
      <c r="I16" s="187">
        <v>96</v>
      </c>
      <c r="J16" s="108">
        <f aca="true" t="shared" si="3" ref="J16:J20">H16/I16*100-100</f>
        <v>-52.08333333333333</v>
      </c>
    </row>
    <row r="17" spans="1:10" s="260" customFormat="1" ht="24.75" customHeight="1">
      <c r="A17" s="183" t="s">
        <v>1340</v>
      </c>
      <c r="B17" s="275"/>
      <c r="C17" s="187"/>
      <c r="D17" s="108"/>
      <c r="E17" s="275">
        <v>570</v>
      </c>
      <c r="F17" s="187">
        <v>59</v>
      </c>
      <c r="G17" s="108">
        <f aca="true" t="shared" si="4" ref="G17:G20">E17/F17*100-100</f>
        <v>866.1016949152541</v>
      </c>
      <c r="H17" s="275">
        <v>0</v>
      </c>
      <c r="I17" s="187"/>
      <c r="J17" s="108"/>
    </row>
    <row r="18" spans="1:10" s="260" customFormat="1" ht="24.75" customHeight="1">
      <c r="A18" s="183" t="s">
        <v>1341</v>
      </c>
      <c r="B18" s="275">
        <v>56</v>
      </c>
      <c r="C18" s="276">
        <f>72+10</f>
        <v>82</v>
      </c>
      <c r="D18" s="108">
        <f t="shared" si="2"/>
        <v>-31.707317073170728</v>
      </c>
      <c r="E18" s="275">
        <v>90</v>
      </c>
      <c r="F18" s="276">
        <v>144</v>
      </c>
      <c r="G18" s="108">
        <f t="shared" si="4"/>
        <v>-37.5</v>
      </c>
      <c r="H18" s="275">
        <v>62</v>
      </c>
      <c r="I18" s="276">
        <v>105</v>
      </c>
      <c r="J18" s="108">
        <f t="shared" si="3"/>
        <v>-40.95238095238095</v>
      </c>
    </row>
    <row r="19" spans="1:10" s="260" customFormat="1" ht="24.75" customHeight="1">
      <c r="A19" s="183" t="s">
        <v>1342</v>
      </c>
      <c r="B19" s="275">
        <v>100</v>
      </c>
      <c r="C19" s="276"/>
      <c r="D19" s="108"/>
      <c r="E19" s="275">
        <v>248</v>
      </c>
      <c r="F19" s="276"/>
      <c r="G19" s="108"/>
      <c r="H19" s="275">
        <v>0</v>
      </c>
      <c r="I19" s="276"/>
      <c r="J19" s="108"/>
    </row>
    <row r="20" spans="1:10" s="270" customFormat="1" ht="24.75" customHeight="1">
      <c r="A20" s="175" t="s">
        <v>57</v>
      </c>
      <c r="B20" s="187">
        <f aca="true" t="shared" si="5" ref="B20:F20">SUM(B6:B19)</f>
        <v>38386</v>
      </c>
      <c r="C20" s="187">
        <f t="shared" si="5"/>
        <v>49715</v>
      </c>
      <c r="D20" s="108">
        <f t="shared" si="2"/>
        <v>-22.78789097857789</v>
      </c>
      <c r="E20" s="187">
        <f t="shared" si="5"/>
        <v>24006</v>
      </c>
      <c r="F20" s="187">
        <f t="shared" si="5"/>
        <v>42458</v>
      </c>
      <c r="G20" s="108">
        <f t="shared" si="4"/>
        <v>-43.45941871967591</v>
      </c>
      <c r="H20" s="187">
        <f>SUM(H6:H19)</f>
        <v>4418</v>
      </c>
      <c r="I20" s="187">
        <f>SUM(I6:I19)</f>
        <v>38363</v>
      </c>
      <c r="J20" s="108">
        <f t="shared" si="3"/>
        <v>-88.483695227172</v>
      </c>
    </row>
  </sheetData>
  <sheetProtection/>
  <mergeCells count="5">
    <mergeCell ref="A2:J2"/>
    <mergeCell ref="B4:D4"/>
    <mergeCell ref="E4:G4"/>
    <mergeCell ref="H4:J4"/>
    <mergeCell ref="A4:A5"/>
  </mergeCells>
  <printOptions horizontalCentered="1" verticalCentered="1"/>
  <pageMargins left="0.47" right="0.39" top="0.35" bottom="0.68" header="0.67" footer="0.4"/>
  <pageSetup horizontalDpi="600" verticalDpi="600" orientation="landscape" paperSize="9"/>
  <headerFooter scaleWithDoc="0" alignWithMargins="0">
    <oddFooter>&amp;C—&amp;P+47—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3"/>
  </sheetPr>
  <dimension ref="A1:H20"/>
  <sheetViews>
    <sheetView showZeros="0" workbookViewId="0" topLeftCell="A1">
      <selection activeCell="A2" sqref="A2:G2"/>
    </sheetView>
  </sheetViews>
  <sheetFormatPr defaultColWidth="9.00390625" defaultRowHeight="14.25"/>
  <cols>
    <col min="1" max="1" width="18.25390625" style="0" customWidth="1"/>
    <col min="2" max="2" width="18.875" style="31" customWidth="1"/>
    <col min="3" max="3" width="16.50390625" style="31" customWidth="1"/>
    <col min="4" max="4" width="16.50390625" style="30" customWidth="1"/>
    <col min="5" max="5" width="15.50390625" style="31" customWidth="1"/>
    <col min="6" max="6" width="14.75390625" style="31" customWidth="1"/>
    <col min="7" max="7" width="15.125" style="55" customWidth="1"/>
  </cols>
  <sheetData>
    <row r="1" spans="1:7" ht="21" customHeight="1">
      <c r="A1" s="7" t="s">
        <v>1351</v>
      </c>
      <c r="B1" s="261"/>
      <c r="C1" s="261"/>
      <c r="D1" s="169"/>
      <c r="E1" s="261"/>
      <c r="F1" s="261"/>
      <c r="G1" s="262"/>
    </row>
    <row r="2" spans="1:7" ht="26.25" customHeight="1">
      <c r="A2" s="263" t="s">
        <v>1352</v>
      </c>
      <c r="B2" s="263"/>
      <c r="C2" s="263"/>
      <c r="D2" s="263"/>
      <c r="E2" s="263"/>
      <c r="F2" s="263"/>
      <c r="G2" s="263"/>
    </row>
    <row r="3" spans="1:7" ht="18" customHeight="1">
      <c r="A3" s="201"/>
      <c r="B3" s="261"/>
      <c r="C3" s="261"/>
      <c r="D3" s="169"/>
      <c r="E3" s="261"/>
      <c r="F3" s="261"/>
      <c r="G3" s="264" t="s">
        <v>6</v>
      </c>
    </row>
    <row r="4" spans="1:7" ht="19.5" customHeight="1">
      <c r="A4" s="175" t="s">
        <v>1353</v>
      </c>
      <c r="B4" s="45" t="s">
        <v>1354</v>
      </c>
      <c r="C4" s="45"/>
      <c r="D4" s="46"/>
      <c r="E4" s="175" t="s">
        <v>1355</v>
      </c>
      <c r="F4" s="175"/>
      <c r="G4" s="175"/>
    </row>
    <row r="5" spans="1:8" ht="40.5" customHeight="1">
      <c r="A5" s="175"/>
      <c r="B5" s="249" t="s">
        <v>8</v>
      </c>
      <c r="C5" s="249" t="s">
        <v>9</v>
      </c>
      <c r="D5" s="111" t="s">
        <v>10</v>
      </c>
      <c r="E5" s="249" t="s">
        <v>8</v>
      </c>
      <c r="F5" s="249" t="s">
        <v>9</v>
      </c>
      <c r="G5" s="111" t="s">
        <v>10</v>
      </c>
      <c r="H5" s="265"/>
    </row>
    <row r="6" spans="1:7" s="260" customFormat="1" ht="22.5" customHeight="1">
      <c r="A6" s="266" t="s">
        <v>75</v>
      </c>
      <c r="B6" s="267">
        <f aca="true" t="shared" si="0" ref="B6:F6">B7+B8</f>
        <v>2853222</v>
      </c>
      <c r="C6" s="267">
        <f t="shared" si="0"/>
        <v>1939775</v>
      </c>
      <c r="D6" s="268">
        <f aca="true" t="shared" si="1" ref="D6:D13">B6/C6*100-100</f>
        <v>47.09035841785774</v>
      </c>
      <c r="E6" s="267">
        <f t="shared" si="0"/>
        <v>2619204</v>
      </c>
      <c r="F6" s="267">
        <f t="shared" si="0"/>
        <v>2263437</v>
      </c>
      <c r="G6" s="268">
        <f aca="true" t="shared" si="2" ref="G6:G20">E6/F6*100-100</f>
        <v>15.717998777964667</v>
      </c>
    </row>
    <row r="7" spans="1:7" s="260" customFormat="1" ht="22.5" customHeight="1">
      <c r="A7" s="266" t="s">
        <v>76</v>
      </c>
      <c r="B7" s="267">
        <v>2062923</v>
      </c>
      <c r="C7" s="267">
        <v>1315015</v>
      </c>
      <c r="D7" s="268">
        <f t="shared" si="1"/>
        <v>56.87448432147161</v>
      </c>
      <c r="E7" s="267">
        <v>1914742</v>
      </c>
      <c r="F7" s="267">
        <v>1490139</v>
      </c>
      <c r="G7" s="268">
        <f t="shared" si="2"/>
        <v>28.494187454995824</v>
      </c>
    </row>
    <row r="8" spans="1:7" s="260" customFormat="1" ht="22.5" customHeight="1">
      <c r="A8" s="266" t="s">
        <v>77</v>
      </c>
      <c r="B8" s="267">
        <f aca="true" t="shared" si="3" ref="B8:F8">SUM(B9:B20)</f>
        <v>790299</v>
      </c>
      <c r="C8" s="267">
        <f t="shared" si="3"/>
        <v>624760</v>
      </c>
      <c r="D8" s="268">
        <f t="shared" si="1"/>
        <v>26.49641462321533</v>
      </c>
      <c r="E8" s="267">
        <f t="shared" si="3"/>
        <v>704462</v>
      </c>
      <c r="F8" s="267">
        <f t="shared" si="3"/>
        <v>773298</v>
      </c>
      <c r="G8" s="268">
        <f t="shared" si="2"/>
        <v>-8.901613608207953</v>
      </c>
    </row>
    <row r="9" spans="1:7" s="260" customFormat="1" ht="22.5" customHeight="1">
      <c r="A9" s="266" t="s">
        <v>78</v>
      </c>
      <c r="B9" s="267">
        <v>233341</v>
      </c>
      <c r="C9" s="267">
        <v>207183</v>
      </c>
      <c r="D9" s="268">
        <f t="shared" si="1"/>
        <v>12.625553254851994</v>
      </c>
      <c r="E9" s="267">
        <v>130179</v>
      </c>
      <c r="F9" s="267">
        <v>268236</v>
      </c>
      <c r="G9" s="268">
        <f t="shared" si="2"/>
        <v>-51.46848297767637</v>
      </c>
    </row>
    <row r="10" spans="1:7" s="260" customFormat="1" ht="22.5" customHeight="1">
      <c r="A10" s="266" t="s">
        <v>79</v>
      </c>
      <c r="B10" s="267">
        <v>381821</v>
      </c>
      <c r="C10" s="267">
        <v>199438</v>
      </c>
      <c r="D10" s="268">
        <f t="shared" si="1"/>
        <v>91.44847020126556</v>
      </c>
      <c r="E10" s="267">
        <v>359791</v>
      </c>
      <c r="F10" s="267">
        <v>242171</v>
      </c>
      <c r="G10" s="268">
        <f t="shared" si="2"/>
        <v>48.56898637739448</v>
      </c>
    </row>
    <row r="11" spans="1:7" s="260" customFormat="1" ht="22.5" customHeight="1">
      <c r="A11" s="266" t="s">
        <v>80</v>
      </c>
      <c r="B11" s="267">
        <v>18302</v>
      </c>
      <c r="C11" s="267">
        <v>20546</v>
      </c>
      <c r="D11" s="268">
        <f t="shared" si="1"/>
        <v>-10.921833933612376</v>
      </c>
      <c r="E11" s="267">
        <v>39890</v>
      </c>
      <c r="F11" s="267">
        <v>29174</v>
      </c>
      <c r="G11" s="268">
        <f t="shared" si="2"/>
        <v>36.73133612120381</v>
      </c>
    </row>
    <row r="12" spans="1:7" s="260" customFormat="1" ht="22.5" customHeight="1">
      <c r="A12" s="266" t="s">
        <v>81</v>
      </c>
      <c r="B12" s="267">
        <v>20509</v>
      </c>
      <c r="C12" s="267">
        <v>84018</v>
      </c>
      <c r="D12" s="268">
        <f t="shared" si="1"/>
        <v>-75.5897545764003</v>
      </c>
      <c r="E12" s="267">
        <v>24373</v>
      </c>
      <c r="F12" s="267">
        <v>82406</v>
      </c>
      <c r="G12" s="268">
        <f t="shared" si="2"/>
        <v>-70.42327015023179</v>
      </c>
    </row>
    <row r="13" spans="1:7" s="260" customFormat="1" ht="22.5" customHeight="1">
      <c r="A13" s="266" t="s">
        <v>82</v>
      </c>
      <c r="B13" s="267">
        <v>78526</v>
      </c>
      <c r="C13" s="267">
        <v>6747</v>
      </c>
      <c r="D13" s="268">
        <f t="shared" si="1"/>
        <v>1063.86542166889</v>
      </c>
      <c r="E13" s="267">
        <v>65992</v>
      </c>
      <c r="F13" s="267">
        <v>12147</v>
      </c>
      <c r="G13" s="268">
        <f t="shared" si="2"/>
        <v>443.27817568123817</v>
      </c>
    </row>
    <row r="14" spans="1:7" s="260" customFormat="1" ht="22.5" customHeight="1">
      <c r="A14" s="266" t="s">
        <v>83</v>
      </c>
      <c r="B14" s="267">
        <v>0</v>
      </c>
      <c r="C14" s="267">
        <v>24</v>
      </c>
      <c r="D14" s="268"/>
      <c r="E14" s="267">
        <v>6738</v>
      </c>
      <c r="F14" s="267">
        <v>5531</v>
      </c>
      <c r="G14" s="268">
        <f t="shared" si="2"/>
        <v>21.82245525221478</v>
      </c>
    </row>
    <row r="15" spans="1:7" s="260" customFormat="1" ht="22.5" customHeight="1">
      <c r="A15" s="266" t="s">
        <v>84</v>
      </c>
      <c r="B15" s="267">
        <v>0</v>
      </c>
      <c r="C15" s="267">
        <v>0</v>
      </c>
      <c r="D15" s="268"/>
      <c r="E15" s="267">
        <v>353</v>
      </c>
      <c r="F15" s="267">
        <v>763</v>
      </c>
      <c r="G15" s="268">
        <f t="shared" si="2"/>
        <v>-53.73525557011796</v>
      </c>
    </row>
    <row r="16" spans="1:7" s="260" customFormat="1" ht="22.5" customHeight="1">
      <c r="A16" s="266" t="s">
        <v>85</v>
      </c>
      <c r="B16" s="267">
        <v>0</v>
      </c>
      <c r="C16" s="267">
        <v>0</v>
      </c>
      <c r="D16" s="268"/>
      <c r="E16" s="267">
        <v>6130</v>
      </c>
      <c r="F16" s="267">
        <v>1051</v>
      </c>
      <c r="G16" s="268">
        <f t="shared" si="2"/>
        <v>483.25404376784013</v>
      </c>
    </row>
    <row r="17" spans="1:7" s="260" customFormat="1" ht="22.5" customHeight="1">
      <c r="A17" s="266" t="s">
        <v>86</v>
      </c>
      <c r="B17" s="267">
        <v>0</v>
      </c>
      <c r="C17" s="267">
        <v>0</v>
      </c>
      <c r="D17" s="268"/>
      <c r="E17" s="267">
        <v>4206</v>
      </c>
      <c r="F17" s="267">
        <v>1283</v>
      </c>
      <c r="G17" s="268">
        <f t="shared" si="2"/>
        <v>227.82540919719406</v>
      </c>
    </row>
    <row r="18" spans="1:7" s="260" customFormat="1" ht="22.5" customHeight="1">
      <c r="A18" s="266" t="s">
        <v>87</v>
      </c>
      <c r="B18" s="267">
        <v>35962</v>
      </c>
      <c r="C18" s="267">
        <v>40284</v>
      </c>
      <c r="D18" s="268">
        <f aca="true" t="shared" si="4" ref="D18:D20">B18/C18*100-100</f>
        <v>-10.728825340085393</v>
      </c>
      <c r="E18" s="267">
        <v>38386</v>
      </c>
      <c r="F18" s="267">
        <v>49715</v>
      </c>
      <c r="G18" s="268">
        <f t="shared" si="2"/>
        <v>-22.78789097857789</v>
      </c>
    </row>
    <row r="19" spans="1:7" s="260" customFormat="1" ht="22.5" customHeight="1">
      <c r="A19" s="266" t="s">
        <v>88</v>
      </c>
      <c r="B19" s="267">
        <v>17721</v>
      </c>
      <c r="C19" s="267">
        <v>27567</v>
      </c>
      <c r="D19" s="268">
        <f t="shared" si="4"/>
        <v>-35.7166176950702</v>
      </c>
      <c r="E19" s="267">
        <v>24006</v>
      </c>
      <c r="F19" s="267">
        <v>42458</v>
      </c>
      <c r="G19" s="268">
        <f t="shared" si="2"/>
        <v>-43.45941871967591</v>
      </c>
    </row>
    <row r="20" spans="1:7" s="260" customFormat="1" ht="22.5" customHeight="1">
      <c r="A20" s="266" t="s">
        <v>89</v>
      </c>
      <c r="B20" s="267">
        <v>4117</v>
      </c>
      <c r="C20" s="267">
        <v>38953</v>
      </c>
      <c r="D20" s="268">
        <f t="shared" si="4"/>
        <v>-89.43085256591277</v>
      </c>
      <c r="E20" s="267">
        <v>4418</v>
      </c>
      <c r="F20" s="267">
        <v>38363</v>
      </c>
      <c r="G20" s="268">
        <f t="shared" si="2"/>
        <v>-88.483695227172</v>
      </c>
    </row>
  </sheetData>
  <sheetProtection/>
  <mergeCells count="4">
    <mergeCell ref="A2:G2"/>
    <mergeCell ref="B4:D4"/>
    <mergeCell ref="E4:G4"/>
    <mergeCell ref="A4:A5"/>
  </mergeCells>
  <printOptions horizontalCentered="1" verticalCentered="1"/>
  <pageMargins left="0.75" right="0.75" top="0.5" bottom="0.64" header="0.37" footer="0.34"/>
  <pageSetup horizontalDpi="1200" verticalDpi="1200" orientation="landscape" paperSize="9"/>
  <headerFooter scaleWithDoc="0" alignWithMargins="0">
    <oddFooter>&amp;C—&amp;P+48—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S21"/>
  <sheetViews>
    <sheetView showZeros="0" zoomScaleSheetLayoutView="100" workbookViewId="0" topLeftCell="A1">
      <pane xSplit="1" ySplit="4" topLeftCell="C5" activePane="bottomRight" state="frozen"/>
      <selection pane="bottomRight" activeCell="A4" sqref="A4"/>
    </sheetView>
  </sheetViews>
  <sheetFormatPr defaultColWidth="7.875" defaultRowHeight="14.25"/>
  <cols>
    <col min="1" max="1" width="26.625" style="216" customWidth="1"/>
    <col min="2" max="2" width="7.625" style="217" hidden="1" customWidth="1"/>
    <col min="3" max="3" width="12.00390625" style="218" customWidth="1"/>
    <col min="4" max="4" width="7.625" style="219" hidden="1" customWidth="1"/>
    <col min="5" max="5" width="10.50390625" style="218" customWidth="1"/>
    <col min="6" max="6" width="12.00390625" style="220" customWidth="1"/>
    <col min="7" max="7" width="29.125" style="216" customWidth="1"/>
    <col min="8" max="8" width="7.125" style="217" hidden="1" customWidth="1"/>
    <col min="9" max="9" width="18.50390625" style="216" hidden="1" customWidth="1"/>
    <col min="10" max="10" width="7.625" style="217" hidden="1" customWidth="1"/>
    <col min="11" max="11" width="2.00390625" style="216" hidden="1" customWidth="1"/>
    <col min="12" max="12" width="10.00390625" style="219" customWidth="1"/>
    <col min="13" max="13" width="10.625" style="219" customWidth="1"/>
    <col min="14" max="14" width="8.625" style="219" hidden="1" customWidth="1"/>
    <col min="15" max="15" width="11.50390625" style="220" customWidth="1"/>
    <col min="16" max="16" width="5.625" style="216" hidden="1" customWidth="1"/>
    <col min="17" max="17" width="7.875" style="216" customWidth="1"/>
    <col min="18" max="19" width="8.00390625" style="216" bestFit="1" customWidth="1"/>
    <col min="20" max="16384" width="7.875" style="216" customWidth="1"/>
  </cols>
  <sheetData>
    <row r="1" spans="1:2" ht="15" customHeight="1">
      <c r="A1" s="221" t="s">
        <v>1356</v>
      </c>
      <c r="B1" s="222"/>
    </row>
    <row r="2" spans="1:17" ht="21.75" customHeight="1">
      <c r="A2" s="223" t="s">
        <v>1357</v>
      </c>
      <c r="B2" s="223"/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  <c r="O2" s="223"/>
      <c r="P2" s="223"/>
      <c r="Q2" s="254"/>
    </row>
    <row r="3" spans="1:17" ht="19.5" customHeight="1">
      <c r="A3" s="224"/>
      <c r="B3" s="225"/>
      <c r="O3" s="244" t="s">
        <v>6</v>
      </c>
      <c r="P3" s="245"/>
      <c r="Q3" s="255"/>
    </row>
    <row r="4" spans="1:17" ht="36" customHeight="1">
      <c r="A4" s="226" t="s">
        <v>1358</v>
      </c>
      <c r="B4" s="227" t="s">
        <v>1359</v>
      </c>
      <c r="C4" s="228" t="s">
        <v>93</v>
      </c>
      <c r="D4" s="228" t="s">
        <v>118</v>
      </c>
      <c r="E4" s="228" t="s">
        <v>8</v>
      </c>
      <c r="F4" s="229" t="s">
        <v>120</v>
      </c>
      <c r="G4" s="230" t="s">
        <v>11</v>
      </c>
      <c r="H4" s="231" t="s">
        <v>1360</v>
      </c>
      <c r="I4" s="246"/>
      <c r="J4" s="231" t="s">
        <v>1361</v>
      </c>
      <c r="K4" s="246"/>
      <c r="L4" s="234" t="s">
        <v>93</v>
      </c>
      <c r="M4" s="234" t="s">
        <v>118</v>
      </c>
      <c r="N4" s="234" t="s">
        <v>1362</v>
      </c>
      <c r="O4" s="149" t="s">
        <v>120</v>
      </c>
      <c r="P4" s="247" t="s">
        <v>121</v>
      </c>
      <c r="Q4" s="256"/>
    </row>
    <row r="5" spans="1:17" ht="22.5" customHeight="1">
      <c r="A5" s="232" t="s">
        <v>1363</v>
      </c>
      <c r="B5" s="233" t="s">
        <v>1364</v>
      </c>
      <c r="C5" s="234">
        <v>300</v>
      </c>
      <c r="D5" s="234">
        <v>5000</v>
      </c>
      <c r="E5" s="234">
        <v>360</v>
      </c>
      <c r="F5" s="235">
        <f>C5/E5*100-100</f>
        <v>-16.666666666666657</v>
      </c>
      <c r="G5" s="232" t="s">
        <v>123</v>
      </c>
      <c r="H5" s="233"/>
      <c r="I5" s="232"/>
      <c r="J5" s="233"/>
      <c r="K5" s="232"/>
      <c r="L5" s="234"/>
      <c r="M5" s="234"/>
      <c r="N5" s="234"/>
      <c r="O5" s="235"/>
      <c r="P5" s="247"/>
      <c r="Q5" s="257"/>
    </row>
    <row r="6" spans="1:17" ht="22.5" customHeight="1">
      <c r="A6" s="232"/>
      <c r="B6" s="233"/>
      <c r="C6" s="234"/>
      <c r="D6" s="236"/>
      <c r="E6" s="234"/>
      <c r="F6" s="235"/>
      <c r="G6" s="232" t="s">
        <v>1365</v>
      </c>
      <c r="H6" s="233" t="s">
        <v>1366</v>
      </c>
      <c r="I6" s="232" t="s">
        <v>1367</v>
      </c>
      <c r="J6" s="233" t="s">
        <v>1368</v>
      </c>
      <c r="K6" s="232" t="s">
        <v>1369</v>
      </c>
      <c r="L6" s="234">
        <v>7200</v>
      </c>
      <c r="M6" s="234">
        <v>6000</v>
      </c>
      <c r="N6" s="234">
        <v>7000</v>
      </c>
      <c r="O6" s="235">
        <f aca="true" t="shared" si="0" ref="O6:O13">L6/M6*100-100</f>
        <v>20</v>
      </c>
      <c r="P6" s="247"/>
      <c r="Q6" s="257"/>
    </row>
    <row r="7" spans="1:17" ht="22.5" customHeight="1">
      <c r="A7" s="232"/>
      <c r="B7" s="233"/>
      <c r="C7" s="234"/>
      <c r="D7" s="234"/>
      <c r="E7" s="234"/>
      <c r="F7" s="235"/>
      <c r="G7" s="232" t="s">
        <v>1370</v>
      </c>
      <c r="H7" s="233"/>
      <c r="I7" s="232"/>
      <c r="J7" s="233"/>
      <c r="K7" s="232"/>
      <c r="L7" s="234"/>
      <c r="M7" s="234"/>
      <c r="N7" s="234"/>
      <c r="O7" s="235"/>
      <c r="P7" s="247"/>
      <c r="Q7" s="257"/>
    </row>
    <row r="8" spans="1:19" ht="22.5" customHeight="1">
      <c r="A8" s="232" t="s">
        <v>1371</v>
      </c>
      <c r="B8" s="233" t="s">
        <v>1372</v>
      </c>
      <c r="C8" s="234">
        <v>1280000</v>
      </c>
      <c r="D8" s="234">
        <v>1200000</v>
      </c>
      <c r="E8" s="234">
        <v>1881606</v>
      </c>
      <c r="F8" s="235">
        <f aca="true" t="shared" si="1" ref="F8:F15">C8/E8*100-100</f>
        <v>-31.973006038458635</v>
      </c>
      <c r="G8" s="232"/>
      <c r="H8" s="233"/>
      <c r="I8" s="232"/>
      <c r="J8" s="233"/>
      <c r="K8" s="232"/>
      <c r="L8" s="234"/>
      <c r="M8" s="234"/>
      <c r="N8" s="234"/>
      <c r="O8" s="235"/>
      <c r="P8" s="247"/>
      <c r="Q8" s="258"/>
      <c r="R8" s="219"/>
      <c r="S8" s="219"/>
    </row>
    <row r="9" spans="1:17" ht="22.5" customHeight="1">
      <c r="A9" s="232" t="s">
        <v>1373</v>
      </c>
      <c r="B9" s="233"/>
      <c r="C9" s="234">
        <v>106000</v>
      </c>
      <c r="D9" s="234">
        <v>95000</v>
      </c>
      <c r="E9" s="234"/>
      <c r="F9" s="235"/>
      <c r="G9" s="232" t="s">
        <v>1374</v>
      </c>
      <c r="H9" s="233"/>
      <c r="I9" s="232"/>
      <c r="J9" s="233"/>
      <c r="K9" s="232"/>
      <c r="L9" s="234">
        <v>1280000</v>
      </c>
      <c r="M9" s="234">
        <v>1200000</v>
      </c>
      <c r="N9" s="234">
        <v>1655000</v>
      </c>
      <c r="O9" s="235">
        <f t="shared" si="0"/>
        <v>6.666666666666671</v>
      </c>
      <c r="P9" s="247"/>
      <c r="Q9" s="258"/>
    </row>
    <row r="10" spans="1:17" ht="22.5" customHeight="1">
      <c r="A10" s="232" t="s">
        <v>1375</v>
      </c>
      <c r="B10" s="233"/>
      <c r="C10" s="234">
        <v>25000</v>
      </c>
      <c r="D10" s="234">
        <v>20000</v>
      </c>
      <c r="E10" s="234"/>
      <c r="F10" s="235"/>
      <c r="G10" s="232" t="s">
        <v>1376</v>
      </c>
      <c r="H10" s="233" t="s">
        <v>1377</v>
      </c>
      <c r="I10" s="232" t="s">
        <v>1378</v>
      </c>
      <c r="J10" s="233" t="s">
        <v>1379</v>
      </c>
      <c r="K10" s="232" t="s">
        <v>1380</v>
      </c>
      <c r="L10" s="234">
        <v>106000</v>
      </c>
      <c r="M10" s="234">
        <v>95000</v>
      </c>
      <c r="N10" s="234">
        <v>128000</v>
      </c>
      <c r="O10" s="235">
        <f t="shared" si="0"/>
        <v>11.57894736842104</v>
      </c>
      <c r="P10" s="247"/>
      <c r="Q10" s="258"/>
    </row>
    <row r="11" spans="1:17" ht="22.5" customHeight="1">
      <c r="A11" s="232" t="s">
        <v>1381</v>
      </c>
      <c r="B11" s="233"/>
      <c r="C11" s="234">
        <v>70000</v>
      </c>
      <c r="D11" s="234">
        <v>70000</v>
      </c>
      <c r="E11" s="234"/>
      <c r="F11" s="235"/>
      <c r="G11" s="232" t="s">
        <v>1382</v>
      </c>
      <c r="H11" s="233" t="s">
        <v>1383</v>
      </c>
      <c r="I11" s="232" t="s">
        <v>1384</v>
      </c>
      <c r="J11" s="233" t="s">
        <v>1385</v>
      </c>
      <c r="K11" s="232" t="s">
        <v>1386</v>
      </c>
      <c r="L11" s="234">
        <v>25000</v>
      </c>
      <c r="M11" s="234">
        <v>20000</v>
      </c>
      <c r="N11" s="234">
        <v>22500</v>
      </c>
      <c r="O11" s="235">
        <f t="shared" si="0"/>
        <v>25</v>
      </c>
      <c r="P11" s="247"/>
      <c r="Q11" s="258"/>
    </row>
    <row r="12" spans="1:17" ht="22.5" customHeight="1">
      <c r="A12" s="232" t="s">
        <v>1387</v>
      </c>
      <c r="B12" s="233" t="s">
        <v>1388</v>
      </c>
      <c r="C12" s="234">
        <v>65000</v>
      </c>
      <c r="D12" s="234">
        <v>56000</v>
      </c>
      <c r="E12" s="234">
        <v>114266</v>
      </c>
      <c r="F12" s="235">
        <f t="shared" si="1"/>
        <v>-43.11518736982129</v>
      </c>
      <c r="G12" s="232" t="s">
        <v>1389</v>
      </c>
      <c r="H12" s="233" t="s">
        <v>1390</v>
      </c>
      <c r="I12" s="232" t="s">
        <v>1391</v>
      </c>
      <c r="J12" s="233" t="s">
        <v>1392</v>
      </c>
      <c r="K12" s="232" t="s">
        <v>1393</v>
      </c>
      <c r="L12" s="234">
        <v>70000</v>
      </c>
      <c r="M12" s="234">
        <v>70000</v>
      </c>
      <c r="N12" s="234">
        <v>75000</v>
      </c>
      <c r="O12" s="235">
        <f t="shared" si="0"/>
        <v>0</v>
      </c>
      <c r="P12" s="247"/>
      <c r="Q12" s="258"/>
    </row>
    <row r="13" spans="1:17" ht="22.5" customHeight="1">
      <c r="A13" s="232" t="s">
        <v>1394</v>
      </c>
      <c r="B13" s="233" t="s">
        <v>1395</v>
      </c>
      <c r="C13" s="234">
        <v>5000</v>
      </c>
      <c r="D13" s="234">
        <v>4000</v>
      </c>
      <c r="E13" s="234">
        <v>4714</v>
      </c>
      <c r="F13" s="235">
        <f t="shared" si="1"/>
        <v>6.067034365719138</v>
      </c>
      <c r="G13" s="232" t="s">
        <v>1396</v>
      </c>
      <c r="H13" s="233" t="s">
        <v>1397</v>
      </c>
      <c r="I13" s="232" t="s">
        <v>1398</v>
      </c>
      <c r="J13" s="233" t="s">
        <v>1399</v>
      </c>
      <c r="K13" s="232" t="s">
        <v>1400</v>
      </c>
      <c r="L13" s="234">
        <v>899000</v>
      </c>
      <c r="M13" s="234">
        <v>855000</v>
      </c>
      <c r="N13" s="234">
        <v>1270000</v>
      </c>
      <c r="O13" s="235">
        <f t="shared" si="0"/>
        <v>5.146198830409361</v>
      </c>
      <c r="P13" s="247"/>
      <c r="Q13" s="258"/>
    </row>
    <row r="14" spans="1:17" ht="22.5" customHeight="1">
      <c r="A14" s="232" t="s">
        <v>1401</v>
      </c>
      <c r="B14" s="233" t="s">
        <v>1402</v>
      </c>
      <c r="C14" s="234">
        <v>7200</v>
      </c>
      <c r="D14" s="234">
        <v>6000</v>
      </c>
      <c r="E14" s="234">
        <v>7664</v>
      </c>
      <c r="F14" s="235">
        <f t="shared" si="1"/>
        <v>-6.05427974947807</v>
      </c>
      <c r="G14" s="232" t="s">
        <v>1403</v>
      </c>
      <c r="H14" s="233" t="s">
        <v>1404</v>
      </c>
      <c r="I14" s="232" t="s">
        <v>1405</v>
      </c>
      <c r="J14" s="233"/>
      <c r="K14" s="232"/>
      <c r="L14" s="234">
        <v>180000</v>
      </c>
      <c r="M14" s="234">
        <v>160000</v>
      </c>
      <c r="N14" s="234"/>
      <c r="O14" s="235"/>
      <c r="P14" s="247"/>
      <c r="Q14" s="258"/>
    </row>
    <row r="15" spans="1:17" ht="22.5" customHeight="1">
      <c r="A15" s="232" t="s">
        <v>1406</v>
      </c>
      <c r="B15" s="237">
        <v>1030156</v>
      </c>
      <c r="C15" s="182">
        <v>30000</v>
      </c>
      <c r="D15" s="182">
        <v>25000</v>
      </c>
      <c r="E15" s="182">
        <v>24000</v>
      </c>
      <c r="F15" s="235">
        <f t="shared" si="1"/>
        <v>25</v>
      </c>
      <c r="G15" s="232" t="s">
        <v>1407</v>
      </c>
      <c r="H15" s="233">
        <v>21210</v>
      </c>
      <c r="I15" s="232" t="s">
        <v>1408</v>
      </c>
      <c r="J15" s="233" t="s">
        <v>1409</v>
      </c>
      <c r="K15" s="232" t="s">
        <v>1410</v>
      </c>
      <c r="L15" s="234">
        <v>65000</v>
      </c>
      <c r="M15" s="234">
        <v>56000</v>
      </c>
      <c r="N15" s="234">
        <v>111000</v>
      </c>
      <c r="O15" s="235">
        <f aca="true" t="shared" si="2" ref="O15:O17">L15/M15*100-100</f>
        <v>16.071428571428584</v>
      </c>
      <c r="P15" s="247"/>
      <c r="Q15" s="258"/>
    </row>
    <row r="16" spans="1:17" ht="22.5" customHeight="1">
      <c r="A16" s="232"/>
      <c r="B16" s="233" t="s">
        <v>1411</v>
      </c>
      <c r="C16" s="234"/>
      <c r="D16" s="234"/>
      <c r="E16" s="234"/>
      <c r="F16" s="238"/>
      <c r="G16" s="232" t="s">
        <v>1412</v>
      </c>
      <c r="H16" s="233" t="s">
        <v>1413</v>
      </c>
      <c r="I16" s="232" t="s">
        <v>1414</v>
      </c>
      <c r="J16" s="233"/>
      <c r="K16" s="232"/>
      <c r="L16" s="234">
        <v>5000</v>
      </c>
      <c r="M16" s="234">
        <v>4000</v>
      </c>
      <c r="N16" s="234">
        <v>4400</v>
      </c>
      <c r="O16" s="235">
        <f t="shared" si="2"/>
        <v>25</v>
      </c>
      <c r="P16" s="247"/>
      <c r="Q16" s="258"/>
    </row>
    <row r="17" spans="1:17" ht="22.5" customHeight="1">
      <c r="A17" s="232"/>
      <c r="B17" s="233"/>
      <c r="C17" s="234"/>
      <c r="D17" s="234"/>
      <c r="E17" s="234"/>
      <c r="F17" s="238"/>
      <c r="G17" s="232" t="s">
        <v>1415</v>
      </c>
      <c r="H17" s="237">
        <v>21213</v>
      </c>
      <c r="I17" s="248" t="s">
        <v>1416</v>
      </c>
      <c r="J17" s="233"/>
      <c r="K17" s="232"/>
      <c r="L17" s="249">
        <v>30000</v>
      </c>
      <c r="M17" s="249">
        <v>25000</v>
      </c>
      <c r="N17" s="249">
        <v>25000</v>
      </c>
      <c r="O17" s="235">
        <f t="shared" si="2"/>
        <v>20</v>
      </c>
      <c r="P17" s="247"/>
      <c r="Q17" s="258"/>
    </row>
    <row r="18" spans="1:17" ht="22.5" customHeight="1">
      <c r="A18" s="232"/>
      <c r="B18" s="233"/>
      <c r="C18" s="234"/>
      <c r="D18" s="234"/>
      <c r="E18" s="234"/>
      <c r="F18" s="238"/>
      <c r="G18" s="232" t="s">
        <v>1417</v>
      </c>
      <c r="H18" s="233"/>
      <c r="I18" s="232"/>
      <c r="J18" s="233"/>
      <c r="K18" s="232"/>
      <c r="L18" s="234"/>
      <c r="M18" s="234"/>
      <c r="N18" s="234"/>
      <c r="O18" s="238"/>
      <c r="P18" s="247"/>
      <c r="Q18" s="258"/>
    </row>
    <row r="19" spans="1:17" ht="22.5" customHeight="1">
      <c r="A19" s="232"/>
      <c r="B19" s="233"/>
      <c r="C19" s="234"/>
      <c r="D19" s="234"/>
      <c r="E19" s="234"/>
      <c r="F19" s="238"/>
      <c r="G19" s="232" t="s">
        <v>1418</v>
      </c>
      <c r="H19" s="233"/>
      <c r="I19" s="232"/>
      <c r="J19" s="233"/>
      <c r="K19" s="232"/>
      <c r="L19" s="234">
        <v>185</v>
      </c>
      <c r="M19" s="234">
        <v>2300</v>
      </c>
      <c r="N19" s="234">
        <v>150</v>
      </c>
      <c r="O19" s="235">
        <f>L19/M19*100-100</f>
        <v>-91.95652173913044</v>
      </c>
      <c r="P19" s="247"/>
      <c r="Q19" s="258"/>
    </row>
    <row r="20" spans="1:17" s="215" customFormat="1" ht="22.5" customHeight="1" hidden="1">
      <c r="A20" s="239"/>
      <c r="B20" s="240"/>
      <c r="C20" s="241"/>
      <c r="D20" s="241"/>
      <c r="E20" s="241"/>
      <c r="F20" s="242"/>
      <c r="G20" s="232"/>
      <c r="H20" s="243">
        <v>2130310</v>
      </c>
      <c r="I20" s="250" t="s">
        <v>1419</v>
      </c>
      <c r="J20" s="250">
        <v>301</v>
      </c>
      <c r="K20" s="250" t="s">
        <v>1420</v>
      </c>
      <c r="L20" s="251"/>
      <c r="M20" s="241"/>
      <c r="N20" s="241"/>
      <c r="O20" s="252"/>
      <c r="P20" s="253"/>
      <c r="Q20" s="259"/>
    </row>
    <row r="21" spans="1:17" ht="22.5" customHeight="1">
      <c r="A21" s="232" t="s">
        <v>1421</v>
      </c>
      <c r="B21" s="233"/>
      <c r="C21" s="234">
        <f>C5+C6+C7+C8+C12+C13+C14+C15+C16</f>
        <v>1387500</v>
      </c>
      <c r="D21" s="234">
        <f>D5+D6+D7+D8+D12+D13+D14+D15+D16</f>
        <v>1296000</v>
      </c>
      <c r="E21" s="234">
        <f>E5+E6+E7+E8+E12+E13+E14+E15+E16</f>
        <v>2032610</v>
      </c>
      <c r="F21" s="235">
        <f>C21/E21*100-100</f>
        <v>-31.738011718922962</v>
      </c>
      <c r="G21" s="232" t="s">
        <v>1421</v>
      </c>
      <c r="H21" s="233"/>
      <c r="I21" s="232"/>
      <c r="J21" s="233"/>
      <c r="K21" s="232"/>
      <c r="L21" s="234">
        <f aca="true" t="shared" si="3" ref="L21:N21">L6+L8+L9+L15+L16+L17+L19+L20</f>
        <v>1387385</v>
      </c>
      <c r="M21" s="234">
        <f t="shared" si="3"/>
        <v>1293300</v>
      </c>
      <c r="N21" s="234">
        <f t="shared" si="3"/>
        <v>1802550</v>
      </c>
      <c r="O21" s="235">
        <f>L21/M21*100-100</f>
        <v>7.27480089693033</v>
      </c>
      <c r="P21" s="247"/>
      <c r="Q21" s="258"/>
    </row>
  </sheetData>
  <sheetProtection/>
  <mergeCells count="3">
    <mergeCell ref="A2:P2"/>
    <mergeCell ref="H4:I4"/>
    <mergeCell ref="J4:K4"/>
  </mergeCells>
  <printOptions/>
  <pageMargins left="0.67" right="0.2" top="0.79" bottom="0.39" header="0.51" footer="0.51"/>
  <pageSetup horizontalDpi="600" verticalDpi="600" orientation="landscape" paperSize="9"/>
  <headerFooter scaleWithDoc="0" alignWithMargins="0">
    <oddFooter>&amp;C—&amp;P+49—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0000"/>
  </sheetPr>
  <dimension ref="A1:M20"/>
  <sheetViews>
    <sheetView showZeros="0" workbookViewId="0" topLeftCell="A1">
      <pane xSplit="1" ySplit="5" topLeftCell="B6" activePane="bottomRight" state="frozen"/>
      <selection pane="bottomRight" activeCell="A2" sqref="A2:M2"/>
    </sheetView>
  </sheetViews>
  <sheetFormatPr defaultColWidth="9.00390625" defaultRowHeight="14.25"/>
  <cols>
    <col min="1" max="1" width="35.875" style="0" customWidth="1"/>
    <col min="2" max="3" width="9.625" style="198" customWidth="1"/>
    <col min="4" max="4" width="9.625" style="199" customWidth="1"/>
    <col min="5" max="6" width="9.625" style="198" customWidth="1"/>
    <col min="7" max="7" width="9.625" style="199" customWidth="1"/>
    <col min="8" max="9" width="9.625" style="198" customWidth="1"/>
    <col min="10" max="10" width="9.625" style="199" customWidth="1"/>
    <col min="11" max="13" width="9.00390625" style="0" hidden="1" customWidth="1"/>
  </cols>
  <sheetData>
    <row r="1" ht="18" customHeight="1">
      <c r="A1" s="7" t="s">
        <v>1422</v>
      </c>
    </row>
    <row r="2" spans="1:13" ht="29.25" customHeight="1">
      <c r="A2" s="200" t="s">
        <v>1423</v>
      </c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</row>
    <row r="3" spans="1:10" ht="16.5" customHeight="1">
      <c r="A3" s="201"/>
      <c r="H3" s="58" t="s">
        <v>6</v>
      </c>
      <c r="I3" s="58"/>
      <c r="J3" s="58"/>
    </row>
    <row r="4" spans="1:13" s="196" customFormat="1" ht="24.75" customHeight="1">
      <c r="A4" s="202" t="s">
        <v>7</v>
      </c>
      <c r="B4" s="59" t="s">
        <v>87</v>
      </c>
      <c r="C4" s="60"/>
      <c r="D4" s="61"/>
      <c r="E4" s="176" t="s">
        <v>88</v>
      </c>
      <c r="F4" s="177"/>
      <c r="G4" s="178"/>
      <c r="H4" s="176" t="s">
        <v>89</v>
      </c>
      <c r="I4" s="177"/>
      <c r="J4" s="178"/>
      <c r="K4" s="211" t="s">
        <v>892</v>
      </c>
      <c r="L4" s="211"/>
      <c r="M4" s="211"/>
    </row>
    <row r="5" spans="1:13" s="197" customFormat="1" ht="34.5" customHeight="1">
      <c r="A5" s="202"/>
      <c r="B5" s="179" t="s">
        <v>93</v>
      </c>
      <c r="C5" s="179" t="s">
        <v>8</v>
      </c>
      <c r="D5" s="149" t="s">
        <v>120</v>
      </c>
      <c r="E5" s="179" t="s">
        <v>93</v>
      </c>
      <c r="F5" s="179" t="s">
        <v>8</v>
      </c>
      <c r="G5" s="149" t="s">
        <v>120</v>
      </c>
      <c r="H5" s="179" t="s">
        <v>93</v>
      </c>
      <c r="I5" s="179" t="s">
        <v>8</v>
      </c>
      <c r="J5" s="149" t="s">
        <v>120</v>
      </c>
      <c r="K5" s="212" t="s">
        <v>894</v>
      </c>
      <c r="L5" s="212" t="s">
        <v>1424</v>
      </c>
      <c r="M5" s="149" t="s">
        <v>1425</v>
      </c>
    </row>
    <row r="6" spans="1:13" s="196" customFormat="1" ht="22.5" customHeight="1">
      <c r="A6" s="203" t="s">
        <v>1319</v>
      </c>
      <c r="B6" s="204">
        <v>0</v>
      </c>
      <c r="C6" s="204">
        <v>48</v>
      </c>
      <c r="D6" s="205"/>
      <c r="E6" s="204"/>
      <c r="F6" s="206"/>
      <c r="G6" s="207"/>
      <c r="H6" s="208"/>
      <c r="I6" s="213"/>
      <c r="J6" s="205"/>
      <c r="K6" s="214"/>
      <c r="L6" s="214"/>
      <c r="M6" s="214"/>
    </row>
    <row r="7" spans="1:13" s="196" customFormat="1" ht="22.5" customHeight="1">
      <c r="A7" s="203" t="s">
        <v>1321</v>
      </c>
      <c r="B7" s="204">
        <v>700</v>
      </c>
      <c r="C7" s="204">
        <v>356</v>
      </c>
      <c r="D7" s="205"/>
      <c r="E7" s="204">
        <v>500</v>
      </c>
      <c r="F7" s="206">
        <v>0</v>
      </c>
      <c r="G7" s="205"/>
      <c r="H7" s="208"/>
      <c r="I7" s="213"/>
      <c r="J7" s="205"/>
      <c r="K7" s="214"/>
      <c r="L7" s="214"/>
      <c r="M7" s="214"/>
    </row>
    <row r="8" spans="1:13" s="196" customFormat="1" ht="22.5" customHeight="1">
      <c r="A8" s="203" t="s">
        <v>1426</v>
      </c>
      <c r="B8" s="204">
        <v>0</v>
      </c>
      <c r="C8" s="204">
        <v>0</v>
      </c>
      <c r="D8" s="205"/>
      <c r="E8" s="204"/>
      <c r="F8" s="206"/>
      <c r="G8" s="207"/>
      <c r="H8" s="208"/>
      <c r="I8" s="213"/>
      <c r="J8" s="205"/>
      <c r="K8" s="214"/>
      <c r="L8" s="214"/>
      <c r="M8" s="214"/>
    </row>
    <row r="9" spans="1:13" s="196" customFormat="1" ht="22.5" customHeight="1">
      <c r="A9" s="203" t="s">
        <v>1427</v>
      </c>
      <c r="B9" s="204">
        <v>0</v>
      </c>
      <c r="C9" s="204">
        <v>0</v>
      </c>
      <c r="D9" s="205"/>
      <c r="E9" s="204"/>
      <c r="F9" s="206"/>
      <c r="G9" s="207"/>
      <c r="H9" s="208"/>
      <c r="I9" s="213"/>
      <c r="J9" s="205"/>
      <c r="K9" s="214"/>
      <c r="L9" s="214"/>
      <c r="M9" s="214"/>
    </row>
    <row r="10" spans="1:13" s="196" customFormat="1" ht="22.5" customHeight="1">
      <c r="A10" s="203" t="s">
        <v>1428</v>
      </c>
      <c r="B10" s="204">
        <v>0</v>
      </c>
      <c r="C10" s="204">
        <v>0</v>
      </c>
      <c r="D10" s="205"/>
      <c r="E10" s="204"/>
      <c r="F10" s="206"/>
      <c r="G10" s="207"/>
      <c r="H10" s="208"/>
      <c r="I10" s="213"/>
      <c r="J10" s="205"/>
      <c r="K10" s="214"/>
      <c r="L10" s="214"/>
      <c r="M10" s="214"/>
    </row>
    <row r="11" spans="1:13" s="196" customFormat="1" ht="22.5" customHeight="1">
      <c r="A11" s="203" t="s">
        <v>1429</v>
      </c>
      <c r="B11" s="204">
        <v>115801</v>
      </c>
      <c r="C11" s="204">
        <v>30035</v>
      </c>
      <c r="D11" s="205">
        <f aca="true" t="shared" si="0" ref="D11:D16">B11/C11*100-100</f>
        <v>285.55352089229234</v>
      </c>
      <c r="E11" s="204">
        <v>17500</v>
      </c>
      <c r="F11" s="209">
        <v>15945</v>
      </c>
      <c r="G11" s="207">
        <v>0.09752273439949828</v>
      </c>
      <c r="H11" s="208">
        <v>16000</v>
      </c>
      <c r="I11" s="209">
        <v>4117</v>
      </c>
      <c r="J11" s="205">
        <v>288.6324993927617</v>
      </c>
      <c r="K11" s="214"/>
      <c r="L11" s="214"/>
      <c r="M11" s="214"/>
    </row>
    <row r="12" spans="1:13" s="196" customFormat="1" ht="22.5" customHeight="1">
      <c r="A12" s="203" t="s">
        <v>1373</v>
      </c>
      <c r="B12" s="204">
        <v>2032</v>
      </c>
      <c r="C12" s="204">
        <v>0</v>
      </c>
      <c r="D12" s="205"/>
      <c r="E12" s="204"/>
      <c r="F12" s="209"/>
      <c r="G12" s="207"/>
      <c r="H12" s="208"/>
      <c r="I12" s="209"/>
      <c r="J12" s="205"/>
      <c r="K12" s="214"/>
      <c r="L12" s="214"/>
      <c r="M12" s="214"/>
    </row>
    <row r="13" spans="1:13" s="196" customFormat="1" ht="22.5" customHeight="1">
      <c r="A13" s="203" t="s">
        <v>1375</v>
      </c>
      <c r="B13" s="204">
        <v>559</v>
      </c>
      <c r="C13" s="204">
        <v>0</v>
      </c>
      <c r="D13" s="205"/>
      <c r="E13" s="204"/>
      <c r="F13" s="209"/>
      <c r="G13" s="207"/>
      <c r="H13" s="208"/>
      <c r="I13" s="209"/>
      <c r="J13" s="205"/>
      <c r="K13" s="214"/>
      <c r="L13" s="214"/>
      <c r="M13" s="214"/>
    </row>
    <row r="14" spans="1:13" s="196" customFormat="1" ht="22.5" customHeight="1">
      <c r="A14" s="203" t="s">
        <v>1381</v>
      </c>
      <c r="B14" s="204">
        <v>0</v>
      </c>
      <c r="C14" s="204">
        <v>0</v>
      </c>
      <c r="D14" s="205"/>
      <c r="E14" s="204"/>
      <c r="F14" s="209"/>
      <c r="G14" s="207"/>
      <c r="H14" s="208"/>
      <c r="I14" s="209"/>
      <c r="J14" s="205"/>
      <c r="K14" s="214"/>
      <c r="L14" s="214"/>
      <c r="M14" s="214"/>
    </row>
    <row r="15" spans="1:13" s="196" customFormat="1" ht="22.5" customHeight="1">
      <c r="A15" s="210" t="s">
        <v>1430</v>
      </c>
      <c r="B15" s="204">
        <v>7838</v>
      </c>
      <c r="C15" s="204">
        <v>1402</v>
      </c>
      <c r="D15" s="205">
        <f t="shared" si="0"/>
        <v>459.0584878744651</v>
      </c>
      <c r="E15" s="204">
        <v>1000</v>
      </c>
      <c r="F15" s="209">
        <v>759</v>
      </c>
      <c r="G15" s="207">
        <v>0.31752305665349145</v>
      </c>
      <c r="H15" s="208"/>
      <c r="I15" s="209"/>
      <c r="J15" s="205"/>
      <c r="K15" s="214"/>
      <c r="L15" s="214"/>
      <c r="M15" s="214"/>
    </row>
    <row r="16" spans="1:13" s="196" customFormat="1" ht="22.5" customHeight="1">
      <c r="A16" s="210" t="s">
        <v>1431</v>
      </c>
      <c r="B16" s="204">
        <v>5083</v>
      </c>
      <c r="C16" s="204">
        <v>1533</v>
      </c>
      <c r="D16" s="205">
        <f t="shared" si="0"/>
        <v>231.5720808871494</v>
      </c>
      <c r="E16" s="204">
        <v>1500</v>
      </c>
      <c r="F16" s="209">
        <v>1017</v>
      </c>
      <c r="G16" s="207">
        <v>0.4749262536873156</v>
      </c>
      <c r="H16" s="208"/>
      <c r="I16" s="209"/>
      <c r="J16" s="205"/>
      <c r="K16" s="214"/>
      <c r="L16" s="214"/>
      <c r="M16" s="214"/>
    </row>
    <row r="17" spans="1:13" s="196" customFormat="1" ht="22.5" customHeight="1">
      <c r="A17" s="203" t="s">
        <v>1432</v>
      </c>
      <c r="B17" s="204">
        <v>7760</v>
      </c>
      <c r="C17" s="204">
        <v>2112</v>
      </c>
      <c r="D17" s="205"/>
      <c r="E17" s="204"/>
      <c r="F17" s="206"/>
      <c r="G17" s="207"/>
      <c r="H17" s="208"/>
      <c r="I17" s="213"/>
      <c r="J17" s="205"/>
      <c r="K17" s="214"/>
      <c r="L17" s="214"/>
      <c r="M17" s="214"/>
    </row>
    <row r="18" spans="1:13" s="196" customFormat="1" ht="22.5" customHeight="1">
      <c r="A18" s="203" t="s">
        <v>1433</v>
      </c>
      <c r="B18" s="204">
        <v>0</v>
      </c>
      <c r="C18" s="204">
        <v>0</v>
      </c>
      <c r="D18" s="205"/>
      <c r="E18" s="204"/>
      <c r="F18" s="206"/>
      <c r="G18" s="207"/>
      <c r="H18" s="208"/>
      <c r="I18" s="213"/>
      <c r="J18" s="205"/>
      <c r="K18" s="214"/>
      <c r="L18" s="214"/>
      <c r="M18" s="214"/>
    </row>
    <row r="19" spans="1:13" s="196" customFormat="1" ht="22.5" customHeight="1">
      <c r="A19" s="203" t="s">
        <v>1434</v>
      </c>
      <c r="B19" s="204">
        <v>4</v>
      </c>
      <c r="C19" s="204">
        <v>4</v>
      </c>
      <c r="D19" s="205"/>
      <c r="E19" s="204"/>
      <c r="F19" s="206">
        <v>0</v>
      </c>
      <c r="G19" s="207"/>
      <c r="H19" s="208"/>
      <c r="I19" s="213"/>
      <c r="J19" s="205"/>
      <c r="K19" s="214"/>
      <c r="L19" s="214"/>
      <c r="M19" s="214"/>
    </row>
    <row r="20" spans="1:13" s="196" customFormat="1" ht="22.5" customHeight="1">
      <c r="A20" s="211" t="s">
        <v>56</v>
      </c>
      <c r="B20" s="204">
        <v>131990</v>
      </c>
      <c r="C20" s="204">
        <v>35004</v>
      </c>
      <c r="D20" s="205">
        <f>B20/C20*100-100</f>
        <v>277.071191863787</v>
      </c>
      <c r="E20" s="204">
        <v>20500</v>
      </c>
      <c r="F20" s="204">
        <v>17721</v>
      </c>
      <c r="G20" s="207">
        <v>0.15681959257378253</v>
      </c>
      <c r="H20" s="208">
        <v>16000</v>
      </c>
      <c r="I20" s="208">
        <v>4117</v>
      </c>
      <c r="J20" s="205">
        <v>288.6324993927617</v>
      </c>
      <c r="K20" s="214"/>
      <c r="L20" s="214"/>
      <c r="M20" s="214"/>
    </row>
  </sheetData>
  <sheetProtection/>
  <mergeCells count="7">
    <mergeCell ref="A2:M2"/>
    <mergeCell ref="H3:J3"/>
    <mergeCell ref="B4:D4"/>
    <mergeCell ref="E4:G4"/>
    <mergeCell ref="H4:J4"/>
    <mergeCell ref="K4:M4"/>
    <mergeCell ref="A4:A5"/>
  </mergeCells>
  <printOptions horizontalCentered="1" verticalCentered="1"/>
  <pageMargins left="0.53" right="0.23" top="0.64" bottom="0.73" header="0.39" footer="0.39"/>
  <pageSetup horizontalDpi="600" verticalDpi="600" orientation="landscape" paperSize="9"/>
  <headerFooter scaleWithDoc="0" alignWithMargins="0">
    <oddFooter>&amp;C—&amp;P+50—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0000"/>
  </sheetPr>
  <dimension ref="A1:M27"/>
  <sheetViews>
    <sheetView showZeros="0" workbookViewId="0" topLeftCell="A1">
      <pane xSplit="1" ySplit="5" topLeftCell="B15" activePane="bottomRight" state="frozen"/>
      <selection pane="bottomRight" activeCell="O21" sqref="O21"/>
    </sheetView>
  </sheetViews>
  <sheetFormatPr defaultColWidth="9.00390625" defaultRowHeight="14.25"/>
  <cols>
    <col min="1" max="1" width="35.875" style="32" customWidth="1"/>
    <col min="2" max="3" width="9.625" style="168" customWidth="1"/>
    <col min="4" max="4" width="9.625" style="169" customWidth="1"/>
    <col min="5" max="6" width="9.625" style="168" customWidth="1"/>
    <col min="7" max="7" width="9.625" style="169" customWidth="1"/>
    <col min="8" max="8" width="9.625" style="168" customWidth="1"/>
    <col min="9" max="9" width="9.625" style="170" customWidth="1"/>
    <col min="10" max="10" width="9.625" style="169" customWidth="1"/>
    <col min="11" max="11" width="7.25390625" style="32" hidden="1" customWidth="1"/>
    <col min="12" max="12" width="7.375" style="32" hidden="1" customWidth="1"/>
    <col min="13" max="13" width="8.375" style="32" hidden="1" customWidth="1"/>
    <col min="14" max="16384" width="9.00390625" style="32" customWidth="1"/>
  </cols>
  <sheetData>
    <row r="1" ht="18" customHeight="1">
      <c r="A1" s="33" t="s">
        <v>1435</v>
      </c>
    </row>
    <row r="2" spans="1:13" ht="33.75" customHeight="1">
      <c r="A2" s="171" t="s">
        <v>1436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</row>
    <row r="3" spans="1:10" s="166" customFormat="1" ht="15" customHeight="1">
      <c r="A3" s="172"/>
      <c r="B3" s="173"/>
      <c r="C3" s="173"/>
      <c r="D3" s="174"/>
      <c r="E3" s="173"/>
      <c r="F3" s="173"/>
      <c r="G3" s="174"/>
      <c r="H3" s="58" t="s">
        <v>6</v>
      </c>
      <c r="I3" s="58"/>
      <c r="J3" s="58"/>
    </row>
    <row r="4" spans="1:13" s="167" customFormat="1" ht="16.5" customHeight="1">
      <c r="A4" s="175" t="s">
        <v>11</v>
      </c>
      <c r="B4" s="59" t="s">
        <v>87</v>
      </c>
      <c r="C4" s="60"/>
      <c r="D4" s="61"/>
      <c r="E4" s="176" t="s">
        <v>88</v>
      </c>
      <c r="F4" s="177"/>
      <c r="G4" s="178"/>
      <c r="H4" s="44" t="s">
        <v>89</v>
      </c>
      <c r="I4" s="188"/>
      <c r="J4" s="46"/>
      <c r="K4" s="44" t="s">
        <v>892</v>
      </c>
      <c r="L4" s="45"/>
      <c r="M4" s="46"/>
    </row>
    <row r="5" spans="1:13" s="167" customFormat="1" ht="25.5" customHeight="1">
      <c r="A5" s="175"/>
      <c r="B5" s="179" t="s">
        <v>93</v>
      </c>
      <c r="C5" s="179" t="s">
        <v>118</v>
      </c>
      <c r="D5" s="149" t="s">
        <v>120</v>
      </c>
      <c r="E5" s="179" t="s">
        <v>93</v>
      </c>
      <c r="F5" s="179" t="s">
        <v>118</v>
      </c>
      <c r="G5" s="149" t="s">
        <v>120</v>
      </c>
      <c r="H5" s="179" t="s">
        <v>93</v>
      </c>
      <c r="I5" s="179" t="s">
        <v>118</v>
      </c>
      <c r="J5" s="149" t="s">
        <v>120</v>
      </c>
      <c r="K5" s="189" t="s">
        <v>894</v>
      </c>
      <c r="L5" s="189" t="s">
        <v>1437</v>
      </c>
      <c r="M5" s="189" t="s">
        <v>1438</v>
      </c>
    </row>
    <row r="6" spans="1:13" s="167" customFormat="1" ht="17.25" customHeight="1">
      <c r="A6" s="180" t="s">
        <v>123</v>
      </c>
      <c r="B6" s="181">
        <v>0</v>
      </c>
      <c r="C6" s="182">
        <v>0</v>
      </c>
      <c r="D6" s="111"/>
      <c r="E6" s="182"/>
      <c r="F6" s="182"/>
      <c r="G6" s="111"/>
      <c r="H6" s="182"/>
      <c r="I6" s="182"/>
      <c r="J6" s="111"/>
      <c r="K6" s="189"/>
      <c r="L6" s="189"/>
      <c r="M6" s="189"/>
    </row>
    <row r="7" spans="1:13" s="167" customFormat="1" ht="17.25" customHeight="1">
      <c r="A7" s="183" t="s">
        <v>1439</v>
      </c>
      <c r="B7" s="181">
        <v>0</v>
      </c>
      <c r="C7" s="182">
        <v>0</v>
      </c>
      <c r="D7" s="111"/>
      <c r="E7" s="182"/>
      <c r="F7" s="182"/>
      <c r="G7" s="111"/>
      <c r="H7" s="182"/>
      <c r="I7" s="182"/>
      <c r="J7" s="111"/>
      <c r="K7" s="189"/>
      <c r="L7" s="189"/>
      <c r="M7" s="189"/>
    </row>
    <row r="8" spans="1:13" s="167" customFormat="1" ht="17.25" customHeight="1">
      <c r="A8" s="180" t="s">
        <v>1370</v>
      </c>
      <c r="B8" s="181">
        <v>131551</v>
      </c>
      <c r="C8" s="181">
        <v>29952</v>
      </c>
      <c r="D8" s="111">
        <f>B8/C8*100-100</f>
        <v>339.2060630341881</v>
      </c>
      <c r="E8" s="181">
        <v>23500</v>
      </c>
      <c r="F8" s="182">
        <v>32000</v>
      </c>
      <c r="G8" s="111">
        <v>-26.5625</v>
      </c>
      <c r="H8" s="184">
        <v>16000</v>
      </c>
      <c r="I8" s="182">
        <v>12000</v>
      </c>
      <c r="J8" s="111"/>
      <c r="K8" s="189"/>
      <c r="L8" s="189"/>
      <c r="M8" s="189"/>
    </row>
    <row r="9" spans="1:13" s="167" customFormat="1" ht="17.25" customHeight="1">
      <c r="A9" s="183" t="s">
        <v>1440</v>
      </c>
      <c r="B9" s="181">
        <v>118630</v>
      </c>
      <c r="C9" s="181">
        <v>28178</v>
      </c>
      <c r="D9" s="111">
        <f>B9/C9*100-100</f>
        <v>321.00220029810487</v>
      </c>
      <c r="E9" s="181">
        <v>21000</v>
      </c>
      <c r="F9" s="185">
        <v>28900</v>
      </c>
      <c r="G9" s="111">
        <v>-27.33564013840831</v>
      </c>
      <c r="H9" s="184">
        <v>16000</v>
      </c>
      <c r="I9" s="190">
        <v>12000</v>
      </c>
      <c r="J9" s="111"/>
      <c r="K9" s="191"/>
      <c r="L9" s="191"/>
      <c r="M9" s="191"/>
    </row>
    <row r="10" spans="1:13" s="167" customFormat="1" ht="17.25" customHeight="1">
      <c r="A10" s="183" t="s">
        <v>1376</v>
      </c>
      <c r="B10" s="181">
        <v>7032</v>
      </c>
      <c r="C10" s="181">
        <v>0</v>
      </c>
      <c r="D10" s="108"/>
      <c r="E10" s="181">
        <v>8000</v>
      </c>
      <c r="F10" s="185"/>
      <c r="G10" s="108"/>
      <c r="H10" s="184"/>
      <c r="I10" s="192"/>
      <c r="J10" s="108"/>
      <c r="K10" s="191"/>
      <c r="L10" s="191"/>
      <c r="M10" s="191"/>
    </row>
    <row r="11" spans="1:13" s="167" customFormat="1" ht="17.25" customHeight="1">
      <c r="A11" s="183" t="s">
        <v>1382</v>
      </c>
      <c r="B11" s="181">
        <v>559</v>
      </c>
      <c r="C11" s="181">
        <v>0</v>
      </c>
      <c r="D11" s="108"/>
      <c r="E11" s="181">
        <v>174</v>
      </c>
      <c r="F11" s="185"/>
      <c r="G11" s="108"/>
      <c r="H11" s="184"/>
      <c r="I11" s="192"/>
      <c r="J11" s="108"/>
      <c r="K11" s="191"/>
      <c r="L11" s="191"/>
      <c r="M11" s="191"/>
    </row>
    <row r="12" spans="1:13" s="167" customFormat="1" ht="17.25" customHeight="1">
      <c r="A12" s="183" t="s">
        <v>1389</v>
      </c>
      <c r="B12" s="181">
        <v>0</v>
      </c>
      <c r="C12" s="181">
        <v>0</v>
      </c>
      <c r="D12" s="108"/>
      <c r="E12" s="181"/>
      <c r="F12" s="185"/>
      <c r="G12" s="108"/>
      <c r="H12" s="184"/>
      <c r="I12" s="192"/>
      <c r="J12" s="108"/>
      <c r="K12" s="191"/>
      <c r="L12" s="191"/>
      <c r="M12" s="191"/>
    </row>
    <row r="13" spans="1:13" s="167" customFormat="1" ht="17.25" customHeight="1">
      <c r="A13" s="183" t="s">
        <v>1396</v>
      </c>
      <c r="B13" s="181">
        <v>0</v>
      </c>
      <c r="C13" s="181">
        <v>0</v>
      </c>
      <c r="D13" s="108"/>
      <c r="E13" s="181"/>
      <c r="F13" s="185"/>
      <c r="G13" s="108"/>
      <c r="H13" s="184"/>
      <c r="I13" s="192"/>
      <c r="J13" s="108"/>
      <c r="K13" s="191"/>
      <c r="L13" s="191"/>
      <c r="M13" s="191"/>
    </row>
    <row r="14" spans="1:13" s="167" customFormat="1" ht="17.25" customHeight="1">
      <c r="A14" s="183" t="s">
        <v>1403</v>
      </c>
      <c r="B14" s="181">
        <v>0</v>
      </c>
      <c r="C14" s="182">
        <v>0</v>
      </c>
      <c r="D14" s="111"/>
      <c r="E14" s="182"/>
      <c r="F14" s="182"/>
      <c r="G14" s="111"/>
      <c r="H14" s="182"/>
      <c r="I14" s="182"/>
      <c r="J14" s="111"/>
      <c r="K14" s="189"/>
      <c r="L14" s="189"/>
      <c r="M14" s="189"/>
    </row>
    <row r="15" spans="1:13" s="167" customFormat="1" ht="17.25" customHeight="1">
      <c r="A15" s="183" t="s">
        <v>1441</v>
      </c>
      <c r="B15" s="181">
        <v>7838</v>
      </c>
      <c r="C15" s="181">
        <v>1024</v>
      </c>
      <c r="D15" s="111">
        <f aca="true" t="shared" si="0" ref="D15:D19">B15/C15*100-100</f>
        <v>665.4296875</v>
      </c>
      <c r="E15" s="181">
        <v>1000</v>
      </c>
      <c r="F15" s="185">
        <v>1600</v>
      </c>
      <c r="G15" s="111">
        <v>-37.5</v>
      </c>
      <c r="H15" s="184"/>
      <c r="I15" s="192"/>
      <c r="J15" s="108"/>
      <c r="K15" s="191"/>
      <c r="L15" s="191"/>
      <c r="M15" s="191"/>
    </row>
    <row r="16" spans="1:13" s="167" customFormat="1" ht="17.25" customHeight="1">
      <c r="A16" s="183" t="s">
        <v>1442</v>
      </c>
      <c r="B16" s="181">
        <v>5083</v>
      </c>
      <c r="C16" s="181">
        <v>750</v>
      </c>
      <c r="D16" s="111">
        <f t="shared" si="0"/>
        <v>577.7333333333333</v>
      </c>
      <c r="E16" s="181">
        <v>1500</v>
      </c>
      <c r="F16" s="185">
        <v>1500</v>
      </c>
      <c r="G16" s="111">
        <v>0</v>
      </c>
      <c r="H16" s="184"/>
      <c r="I16" s="192"/>
      <c r="J16" s="108"/>
      <c r="K16" s="191"/>
      <c r="L16" s="191"/>
      <c r="M16" s="191"/>
    </row>
    <row r="17" spans="1:13" s="167" customFormat="1" ht="17.25" customHeight="1">
      <c r="A17" s="183" t="s">
        <v>1443</v>
      </c>
      <c r="B17" s="181">
        <v>0</v>
      </c>
      <c r="C17" s="181">
        <v>0</v>
      </c>
      <c r="D17" s="108"/>
      <c r="E17" s="181"/>
      <c r="F17" s="185"/>
      <c r="G17" s="108"/>
      <c r="H17" s="184"/>
      <c r="I17" s="193"/>
      <c r="J17" s="108"/>
      <c r="K17" s="191"/>
      <c r="L17" s="191"/>
      <c r="M17" s="191"/>
    </row>
    <row r="18" spans="1:13" s="167" customFormat="1" ht="17.25" customHeight="1">
      <c r="A18" s="186" t="s">
        <v>1417</v>
      </c>
      <c r="B18" s="181">
        <v>0</v>
      </c>
      <c r="C18" s="181">
        <f>SUM(C19:C25)</f>
        <v>10</v>
      </c>
      <c r="D18" s="111">
        <f t="shared" si="0"/>
        <v>-100</v>
      </c>
      <c r="E18" s="181">
        <v>500</v>
      </c>
      <c r="F18" s="185"/>
      <c r="G18" s="108"/>
      <c r="H18" s="184"/>
      <c r="I18" s="192"/>
      <c r="J18" s="108"/>
      <c r="K18" s="191"/>
      <c r="L18" s="191"/>
      <c r="M18" s="191"/>
    </row>
    <row r="19" spans="1:13" s="167" customFormat="1" ht="17.25" customHeight="1">
      <c r="A19" s="183" t="s">
        <v>1444</v>
      </c>
      <c r="B19" s="181">
        <v>0</v>
      </c>
      <c r="C19" s="187">
        <v>10</v>
      </c>
      <c r="D19" s="111">
        <f t="shared" si="0"/>
        <v>-100</v>
      </c>
      <c r="E19" s="187"/>
      <c r="F19" s="187"/>
      <c r="G19" s="108"/>
      <c r="H19" s="187"/>
      <c r="I19" s="194"/>
      <c r="J19" s="108"/>
      <c r="K19" s="191"/>
      <c r="L19" s="191"/>
      <c r="M19" s="191"/>
    </row>
    <row r="20" spans="1:13" s="167" customFormat="1" ht="17.25" customHeight="1">
      <c r="A20" s="183" t="s">
        <v>1445</v>
      </c>
      <c r="B20" s="181">
        <v>0</v>
      </c>
      <c r="C20" s="187">
        <v>0</v>
      </c>
      <c r="D20" s="108"/>
      <c r="E20" s="187">
        <v>500</v>
      </c>
      <c r="F20" s="187"/>
      <c r="G20" s="108"/>
      <c r="H20" s="187"/>
      <c r="I20" s="194"/>
      <c r="J20" s="108"/>
      <c r="K20" s="191"/>
      <c r="L20" s="191"/>
      <c r="M20" s="191"/>
    </row>
    <row r="21" spans="1:13" s="167" customFormat="1" ht="17.25" customHeight="1">
      <c r="A21" s="183" t="s">
        <v>1446</v>
      </c>
      <c r="B21" s="181">
        <v>0</v>
      </c>
      <c r="C21" s="181">
        <v>0</v>
      </c>
      <c r="D21" s="108"/>
      <c r="E21" s="181"/>
      <c r="F21" s="185"/>
      <c r="G21" s="108"/>
      <c r="H21" s="184"/>
      <c r="I21" s="192"/>
      <c r="J21" s="108"/>
      <c r="K21" s="191"/>
      <c r="L21" s="191"/>
      <c r="M21" s="191"/>
    </row>
    <row r="22" spans="1:13" s="167" customFormat="1" ht="17.25" customHeight="1">
      <c r="A22" s="183" t="s">
        <v>1447</v>
      </c>
      <c r="B22" s="181">
        <v>0</v>
      </c>
      <c r="C22" s="181">
        <v>0</v>
      </c>
      <c r="D22" s="108"/>
      <c r="E22" s="181"/>
      <c r="F22" s="185"/>
      <c r="G22" s="108"/>
      <c r="H22" s="184"/>
      <c r="I22" s="193"/>
      <c r="J22" s="108"/>
      <c r="K22" s="191"/>
      <c r="L22" s="191"/>
      <c r="M22" s="191"/>
    </row>
    <row r="23" spans="1:13" s="167" customFormat="1" ht="17.25" customHeight="1">
      <c r="A23" s="183" t="s">
        <v>1448</v>
      </c>
      <c r="B23" s="181">
        <v>0</v>
      </c>
      <c r="C23" s="187">
        <v>0</v>
      </c>
      <c r="D23" s="108"/>
      <c r="E23" s="187"/>
      <c r="F23" s="187"/>
      <c r="G23" s="108"/>
      <c r="H23" s="187"/>
      <c r="I23" s="194"/>
      <c r="J23" s="108"/>
      <c r="K23" s="191"/>
      <c r="L23" s="191"/>
      <c r="M23" s="191"/>
    </row>
    <row r="24" spans="1:13" s="167" customFormat="1" ht="17.25" customHeight="1">
      <c r="A24" s="183" t="s">
        <v>1449</v>
      </c>
      <c r="B24" s="181">
        <v>0</v>
      </c>
      <c r="C24" s="187">
        <v>0</v>
      </c>
      <c r="D24" s="108"/>
      <c r="E24" s="187"/>
      <c r="F24" s="187"/>
      <c r="G24" s="108"/>
      <c r="H24" s="187"/>
      <c r="I24" s="194"/>
      <c r="J24" s="108"/>
      <c r="K24" s="191"/>
      <c r="L24" s="191"/>
      <c r="M24" s="191"/>
    </row>
    <row r="25" spans="1:13" s="167" customFormat="1" ht="17.25" customHeight="1">
      <c r="A25" s="183" t="s">
        <v>1450</v>
      </c>
      <c r="B25" s="181">
        <v>4</v>
      </c>
      <c r="C25" s="187">
        <v>0</v>
      </c>
      <c r="D25" s="108"/>
      <c r="E25" s="187"/>
      <c r="F25" s="187"/>
      <c r="G25" s="108"/>
      <c r="H25" s="187"/>
      <c r="I25" s="194"/>
      <c r="J25" s="108"/>
      <c r="K25" s="191"/>
      <c r="L25" s="191"/>
      <c r="M25" s="191"/>
    </row>
    <row r="26" spans="1:13" s="167" customFormat="1" ht="17.25" customHeight="1">
      <c r="A26" s="183" t="s">
        <v>1451</v>
      </c>
      <c r="B26" s="181">
        <v>159</v>
      </c>
      <c r="C26" s="187"/>
      <c r="D26" s="108"/>
      <c r="E26" s="187"/>
      <c r="F26" s="187"/>
      <c r="G26" s="108"/>
      <c r="H26" s="187"/>
      <c r="I26" s="194"/>
      <c r="J26" s="108"/>
      <c r="K26" s="191"/>
      <c r="L26" s="191"/>
      <c r="M26" s="191"/>
    </row>
    <row r="27" spans="1:13" s="166" customFormat="1" ht="17.25" customHeight="1">
      <c r="A27" s="175" t="s">
        <v>57</v>
      </c>
      <c r="B27" s="181">
        <f>B7+B9+B15+B16+B17+B19+B20+B21+B22+B23+B24+B25+B26</f>
        <v>131714</v>
      </c>
      <c r="C27" s="181">
        <f aca="true" t="shared" si="1" ref="C27:H27">C7+C9+C15+C16+C17+C19+C20+C21+C22+C23+C24+C25+C26</f>
        <v>29962</v>
      </c>
      <c r="D27" s="111">
        <f>B27/C27*100-100</f>
        <v>339.6034977638342</v>
      </c>
      <c r="E27" s="181">
        <f t="shared" si="1"/>
        <v>24000</v>
      </c>
      <c r="F27" s="187">
        <v>32000</v>
      </c>
      <c r="G27" s="111">
        <v>-25</v>
      </c>
      <c r="H27" s="181">
        <f t="shared" si="1"/>
        <v>16000</v>
      </c>
      <c r="I27" s="187">
        <v>12000</v>
      </c>
      <c r="J27" s="111">
        <f>H27/I27*100-100</f>
        <v>33.333333333333314</v>
      </c>
      <c r="K27" s="195"/>
      <c r="L27" s="195"/>
      <c r="M27" s="195"/>
    </row>
  </sheetData>
  <sheetProtection/>
  <mergeCells count="7">
    <mergeCell ref="A2:M2"/>
    <mergeCell ref="H3:J3"/>
    <mergeCell ref="B4:D4"/>
    <mergeCell ref="E4:G4"/>
    <mergeCell ref="H4:J4"/>
    <mergeCell ref="K4:M4"/>
    <mergeCell ref="A4:A5"/>
  </mergeCells>
  <printOptions horizontalCentered="1"/>
  <pageMargins left="0.59" right="0.47" top="0.55" bottom="0.57" header="0.35" footer="0.39"/>
  <pageSetup horizontalDpi="600" verticalDpi="600" orientation="landscape" paperSize="9"/>
  <headerFooter scaleWithDoc="0" alignWithMargins="0">
    <oddFooter>&amp;C—&amp;P+51—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H32"/>
  <sheetViews>
    <sheetView showZeros="0" workbookViewId="0" topLeftCell="A1">
      <pane xSplit="1" ySplit="4" topLeftCell="B5" activePane="bottomRight" state="frozen"/>
      <selection pane="bottomRight" activeCell="A2" sqref="A2:H2"/>
    </sheetView>
  </sheetViews>
  <sheetFormatPr defaultColWidth="9.00390625" defaultRowHeight="19.5" customHeight="1"/>
  <cols>
    <col min="1" max="1" width="27.50390625" style="0" customWidth="1"/>
    <col min="2" max="2" width="11.625" style="370" customWidth="1"/>
    <col min="3" max="3" width="11.625" style="287" customWidth="1"/>
    <col min="4" max="4" width="11.625" style="288" customWidth="1"/>
    <col min="5" max="5" width="33.00390625" style="0" customWidth="1"/>
    <col min="6" max="8" width="11.625" style="370" customWidth="1"/>
  </cols>
  <sheetData>
    <row r="1" ht="19.5" customHeight="1">
      <c r="A1" s="7" t="s">
        <v>4</v>
      </c>
    </row>
    <row r="2" spans="1:8" ht="27" customHeight="1">
      <c r="A2" s="200" t="s">
        <v>5</v>
      </c>
      <c r="B2" s="200"/>
      <c r="C2" s="200"/>
      <c r="D2" s="200"/>
      <c r="E2" s="200"/>
      <c r="F2" s="200"/>
      <c r="G2" s="200"/>
      <c r="H2" s="200"/>
    </row>
    <row r="3" spans="7:8" ht="17.25" customHeight="1">
      <c r="G3" s="479"/>
      <c r="H3" s="474" t="s">
        <v>6</v>
      </c>
    </row>
    <row r="4" spans="1:8" s="269" customFormat="1" ht="26.25" customHeight="1">
      <c r="A4" s="285" t="s">
        <v>7</v>
      </c>
      <c r="B4" s="377" t="s">
        <v>8</v>
      </c>
      <c r="C4" s="189" t="s">
        <v>9</v>
      </c>
      <c r="D4" s="290" t="s">
        <v>10</v>
      </c>
      <c r="E4" s="290" t="s">
        <v>11</v>
      </c>
      <c r="F4" s="377" t="s">
        <v>8</v>
      </c>
      <c r="G4" s="189" t="s">
        <v>9</v>
      </c>
      <c r="H4" s="290" t="s">
        <v>10</v>
      </c>
    </row>
    <row r="5" spans="1:8" s="301" customFormat="1" ht="18" customHeight="1">
      <c r="A5" s="183" t="s">
        <v>12</v>
      </c>
      <c r="B5" s="453">
        <f>SUM(B6:B19)</f>
        <v>3186656</v>
      </c>
      <c r="C5" s="453">
        <f>SUM(C6:C18)</f>
        <v>3157905</v>
      </c>
      <c r="D5" s="108">
        <f aca="true" t="shared" si="0" ref="D5:D18">B5/C5*100-100</f>
        <v>0.9104453743858727</v>
      </c>
      <c r="E5" s="183" t="s">
        <v>13</v>
      </c>
      <c r="F5" s="480">
        <v>539544</v>
      </c>
      <c r="G5" s="187">
        <v>444772</v>
      </c>
      <c r="H5" s="108">
        <f>F5/G5*100-100</f>
        <v>21.307996006942886</v>
      </c>
    </row>
    <row r="6" spans="1:8" s="301" customFormat="1" ht="18" customHeight="1">
      <c r="A6" s="442" t="s">
        <v>14</v>
      </c>
      <c r="B6" s="453">
        <v>766734</v>
      </c>
      <c r="C6" s="453">
        <v>350598</v>
      </c>
      <c r="D6" s="108">
        <f t="shared" si="0"/>
        <v>118.69320418256808</v>
      </c>
      <c r="E6" s="183" t="s">
        <v>15</v>
      </c>
      <c r="F6" s="480">
        <v>0</v>
      </c>
      <c r="G6" s="187"/>
      <c r="H6" s="108"/>
    </row>
    <row r="7" spans="1:8" s="301" customFormat="1" ht="18" customHeight="1">
      <c r="A7" s="442" t="s">
        <v>16</v>
      </c>
      <c r="B7" s="453">
        <v>736006</v>
      </c>
      <c r="C7" s="453">
        <v>1207890</v>
      </c>
      <c r="D7" s="108">
        <f t="shared" si="0"/>
        <v>-39.0668024406196</v>
      </c>
      <c r="E7" s="183" t="s">
        <v>17</v>
      </c>
      <c r="F7" s="480">
        <v>4915</v>
      </c>
      <c r="G7" s="187">
        <v>4480</v>
      </c>
      <c r="H7" s="108">
        <f aca="true" t="shared" si="1" ref="H7:H20">F7/G7*100-100</f>
        <v>9.709821428571416</v>
      </c>
    </row>
    <row r="8" spans="1:8" s="301" customFormat="1" ht="18" customHeight="1">
      <c r="A8" s="442" t="s">
        <v>18</v>
      </c>
      <c r="B8" s="453">
        <v>422672</v>
      </c>
      <c r="C8" s="453">
        <v>399635</v>
      </c>
      <c r="D8" s="108">
        <f t="shared" si="0"/>
        <v>5.764510115480377</v>
      </c>
      <c r="E8" s="183" t="s">
        <v>19</v>
      </c>
      <c r="F8" s="480">
        <v>339861</v>
      </c>
      <c r="G8" s="187">
        <v>280627</v>
      </c>
      <c r="H8" s="108">
        <f t="shared" si="1"/>
        <v>21.107733753345187</v>
      </c>
    </row>
    <row r="9" spans="1:8" s="301" customFormat="1" ht="18" customHeight="1">
      <c r="A9" s="442" t="s">
        <v>20</v>
      </c>
      <c r="B9" s="453">
        <v>186854</v>
      </c>
      <c r="C9" s="453">
        <v>163161</v>
      </c>
      <c r="D9" s="108">
        <f t="shared" si="0"/>
        <v>14.52123975704977</v>
      </c>
      <c r="E9" s="183" t="s">
        <v>21</v>
      </c>
      <c r="F9" s="480">
        <v>900309</v>
      </c>
      <c r="G9" s="187">
        <v>854606</v>
      </c>
      <c r="H9" s="108">
        <f t="shared" si="1"/>
        <v>5.347844503783023</v>
      </c>
    </row>
    <row r="10" spans="1:8" s="301" customFormat="1" ht="18" customHeight="1">
      <c r="A10" s="442" t="s">
        <v>22</v>
      </c>
      <c r="B10" s="453">
        <v>4785</v>
      </c>
      <c r="C10" s="453">
        <v>3279</v>
      </c>
      <c r="D10" s="108">
        <f t="shared" si="0"/>
        <v>45.92863677950595</v>
      </c>
      <c r="E10" s="183" t="s">
        <v>23</v>
      </c>
      <c r="F10" s="480">
        <v>101713</v>
      </c>
      <c r="G10" s="187">
        <v>82004</v>
      </c>
      <c r="H10" s="108">
        <f t="shared" si="1"/>
        <v>24.034193453977863</v>
      </c>
    </row>
    <row r="11" spans="1:8" s="301" customFormat="1" ht="18" customHeight="1">
      <c r="A11" s="442" t="s">
        <v>24</v>
      </c>
      <c r="B11" s="453">
        <v>213775</v>
      </c>
      <c r="C11" s="453">
        <v>180940</v>
      </c>
      <c r="D11" s="108">
        <f t="shared" si="0"/>
        <v>18.146899524704324</v>
      </c>
      <c r="E11" s="183" t="s">
        <v>25</v>
      </c>
      <c r="F11" s="480">
        <v>67958</v>
      </c>
      <c r="G11" s="187">
        <v>54496</v>
      </c>
      <c r="H11" s="108">
        <f t="shared" si="1"/>
        <v>24.702730475631228</v>
      </c>
    </row>
    <row r="12" spans="1:8" s="301" customFormat="1" ht="18" customHeight="1">
      <c r="A12" s="442" t="s">
        <v>26</v>
      </c>
      <c r="B12" s="453">
        <v>85707</v>
      </c>
      <c r="C12" s="453">
        <v>84832</v>
      </c>
      <c r="D12" s="108">
        <f t="shared" si="0"/>
        <v>1.0314503960769486</v>
      </c>
      <c r="E12" s="183" t="s">
        <v>27</v>
      </c>
      <c r="F12" s="480">
        <v>669995</v>
      </c>
      <c r="G12" s="187">
        <v>617643</v>
      </c>
      <c r="H12" s="108">
        <f t="shared" si="1"/>
        <v>8.476093795283049</v>
      </c>
    </row>
    <row r="13" spans="1:8" s="301" customFormat="1" ht="18" customHeight="1">
      <c r="A13" s="442" t="s">
        <v>28</v>
      </c>
      <c r="B13" s="453">
        <v>49836</v>
      </c>
      <c r="C13" s="453">
        <v>40412</v>
      </c>
      <c r="D13" s="108">
        <f t="shared" si="0"/>
        <v>23.319805998218342</v>
      </c>
      <c r="E13" s="183" t="s">
        <v>29</v>
      </c>
      <c r="F13" s="480">
        <v>589248</v>
      </c>
      <c r="G13" s="187">
        <v>564207</v>
      </c>
      <c r="H13" s="108">
        <f t="shared" si="1"/>
        <v>4.438264679452757</v>
      </c>
    </row>
    <row r="14" spans="1:8" s="301" customFormat="1" ht="18" customHeight="1">
      <c r="A14" s="442" t="s">
        <v>30</v>
      </c>
      <c r="B14" s="453">
        <v>80365</v>
      </c>
      <c r="C14" s="453">
        <v>74480</v>
      </c>
      <c r="D14" s="108">
        <f t="shared" si="0"/>
        <v>7.9014500537056875</v>
      </c>
      <c r="E14" s="183" t="s">
        <v>31</v>
      </c>
      <c r="F14" s="480">
        <v>44827</v>
      </c>
      <c r="G14" s="187">
        <v>77535</v>
      </c>
      <c r="H14" s="108">
        <f t="shared" si="1"/>
        <v>-42.184819758818605</v>
      </c>
    </row>
    <row r="15" spans="1:8" s="301" customFormat="1" ht="18" customHeight="1">
      <c r="A15" s="442" t="s">
        <v>32</v>
      </c>
      <c r="B15" s="453">
        <v>251208</v>
      </c>
      <c r="C15" s="453">
        <v>283525</v>
      </c>
      <c r="D15" s="108">
        <f t="shared" si="0"/>
        <v>-11.398289392469792</v>
      </c>
      <c r="E15" s="183" t="s">
        <v>33</v>
      </c>
      <c r="F15" s="480">
        <v>1052910</v>
      </c>
      <c r="G15" s="187">
        <v>893236</v>
      </c>
      <c r="H15" s="108">
        <f t="shared" si="1"/>
        <v>17.875902896882792</v>
      </c>
    </row>
    <row r="16" spans="1:8" s="301" customFormat="1" ht="18" customHeight="1">
      <c r="A16" s="442" t="s">
        <v>34</v>
      </c>
      <c r="B16" s="453">
        <v>23794</v>
      </c>
      <c r="C16" s="453">
        <v>22101</v>
      </c>
      <c r="D16" s="108">
        <f t="shared" si="0"/>
        <v>7.660286864847748</v>
      </c>
      <c r="E16" s="183" t="s">
        <v>35</v>
      </c>
      <c r="F16" s="480">
        <v>349803</v>
      </c>
      <c r="G16" s="187">
        <v>379786</v>
      </c>
      <c r="H16" s="108">
        <f t="shared" si="1"/>
        <v>-7.894709125665514</v>
      </c>
    </row>
    <row r="17" spans="1:8" s="301" customFormat="1" ht="18" customHeight="1">
      <c r="A17" s="183" t="s">
        <v>36</v>
      </c>
      <c r="B17" s="453">
        <v>34184</v>
      </c>
      <c r="C17" s="453">
        <v>62196</v>
      </c>
      <c r="D17" s="108">
        <f t="shared" si="0"/>
        <v>-45.038266126439</v>
      </c>
      <c r="E17" s="183" t="s">
        <v>37</v>
      </c>
      <c r="F17" s="480">
        <v>360906</v>
      </c>
      <c r="G17" s="187">
        <v>408265</v>
      </c>
      <c r="H17" s="108">
        <f t="shared" si="1"/>
        <v>-11.600063684126724</v>
      </c>
    </row>
    <row r="18" spans="1:8" s="301" customFormat="1" ht="18" customHeight="1">
      <c r="A18" s="442" t="s">
        <v>38</v>
      </c>
      <c r="B18" s="453">
        <v>330728</v>
      </c>
      <c r="C18" s="453">
        <v>284856</v>
      </c>
      <c r="D18" s="108">
        <f t="shared" si="0"/>
        <v>16.103575139719723</v>
      </c>
      <c r="E18" s="183" t="s">
        <v>39</v>
      </c>
      <c r="F18" s="480">
        <v>512176</v>
      </c>
      <c r="G18" s="187">
        <v>368801</v>
      </c>
      <c r="H18" s="108">
        <f t="shared" si="1"/>
        <v>38.875979186607424</v>
      </c>
    </row>
    <row r="19" spans="1:8" s="301" customFormat="1" ht="18" customHeight="1">
      <c r="A19" s="442" t="s">
        <v>40</v>
      </c>
      <c r="B19" s="453">
        <v>8</v>
      </c>
      <c r="C19" s="453"/>
      <c r="D19" s="108"/>
      <c r="E19" s="183" t="s">
        <v>41</v>
      </c>
      <c r="F19" s="480">
        <v>48887</v>
      </c>
      <c r="G19" s="187">
        <v>60784</v>
      </c>
      <c r="H19" s="108">
        <f t="shared" si="1"/>
        <v>-19.572584890760723</v>
      </c>
    </row>
    <row r="20" spans="1:8" s="301" customFormat="1" ht="18" customHeight="1">
      <c r="A20" s="183" t="s">
        <v>42</v>
      </c>
      <c r="B20" s="453">
        <f>B21+B22+B23+B24+B25+B26</f>
        <v>835175</v>
      </c>
      <c r="C20" s="453">
        <f>C21+C22+C23+C24+C25+C26</f>
        <v>735507</v>
      </c>
      <c r="D20" s="108">
        <f aca="true" t="shared" si="2" ref="D20:D26">B20/C20*100-100</f>
        <v>13.55092473627036</v>
      </c>
      <c r="E20" s="183" t="s">
        <v>43</v>
      </c>
      <c r="F20" s="480">
        <v>1861</v>
      </c>
      <c r="G20" s="187">
        <v>1448</v>
      </c>
      <c r="H20" s="108">
        <f t="shared" si="1"/>
        <v>28.522099447513796</v>
      </c>
    </row>
    <row r="21" spans="1:8" s="301" customFormat="1" ht="18" customHeight="1">
      <c r="A21" s="461" t="s">
        <v>44</v>
      </c>
      <c r="B21" s="453">
        <v>208937</v>
      </c>
      <c r="C21" s="453">
        <v>227504</v>
      </c>
      <c r="D21" s="108">
        <f t="shared" si="2"/>
        <v>-8.161175188128553</v>
      </c>
      <c r="E21" s="183" t="s">
        <v>45</v>
      </c>
      <c r="F21" s="480">
        <v>0</v>
      </c>
      <c r="G21" s="187"/>
      <c r="H21" s="108"/>
    </row>
    <row r="22" spans="1:8" s="301" customFormat="1" ht="18" customHeight="1">
      <c r="A22" s="461" t="s">
        <v>46</v>
      </c>
      <c r="B22" s="453">
        <v>403233</v>
      </c>
      <c r="C22" s="453">
        <v>298023</v>
      </c>
      <c r="D22" s="108">
        <f t="shared" si="2"/>
        <v>35.30264442677242</v>
      </c>
      <c r="E22" s="183" t="s">
        <v>47</v>
      </c>
      <c r="F22" s="480">
        <v>20974</v>
      </c>
      <c r="G22" s="187">
        <v>17382</v>
      </c>
      <c r="H22" s="108">
        <f aca="true" t="shared" si="3" ref="H22:H26">F22/G22*100-100</f>
        <v>20.665055804855598</v>
      </c>
    </row>
    <row r="23" spans="1:8" s="301" customFormat="1" ht="18" customHeight="1">
      <c r="A23" s="461" t="s">
        <v>48</v>
      </c>
      <c r="B23" s="453">
        <v>69927</v>
      </c>
      <c r="C23" s="453">
        <v>46513</v>
      </c>
      <c r="D23" s="108">
        <f t="shared" si="2"/>
        <v>50.33861501085718</v>
      </c>
      <c r="E23" s="183" t="s">
        <v>49</v>
      </c>
      <c r="F23" s="480">
        <v>173588</v>
      </c>
      <c r="G23" s="187">
        <v>256655</v>
      </c>
      <c r="H23" s="108">
        <f t="shared" si="3"/>
        <v>-32.36523738091991</v>
      </c>
    </row>
    <row r="24" spans="1:8" s="301" customFormat="1" ht="18" customHeight="1">
      <c r="A24" s="461" t="s">
        <v>50</v>
      </c>
      <c r="B24" s="453"/>
      <c r="C24" s="453">
        <v>6488</v>
      </c>
      <c r="D24" s="108">
        <f t="shared" si="2"/>
        <v>-100</v>
      </c>
      <c r="E24" s="266" t="s">
        <v>51</v>
      </c>
      <c r="F24" s="480">
        <v>9149</v>
      </c>
      <c r="G24" s="187">
        <v>12532</v>
      </c>
      <c r="H24" s="108">
        <f t="shared" si="3"/>
        <v>-26.994893073731248</v>
      </c>
    </row>
    <row r="25" spans="1:8" s="301" customFormat="1" ht="18" customHeight="1">
      <c r="A25" s="461" t="s">
        <v>52</v>
      </c>
      <c r="B25" s="453">
        <v>127264</v>
      </c>
      <c r="C25" s="453">
        <v>129570</v>
      </c>
      <c r="D25" s="108">
        <f t="shared" si="2"/>
        <v>-1.7797329628772047</v>
      </c>
      <c r="E25" s="266" t="s">
        <v>53</v>
      </c>
      <c r="F25" s="480">
        <v>50882</v>
      </c>
      <c r="G25" s="187">
        <v>5208</v>
      </c>
      <c r="H25" s="108">
        <f t="shared" si="3"/>
        <v>876.9969278033794</v>
      </c>
    </row>
    <row r="26" spans="1:8" s="301" customFormat="1" ht="18" customHeight="1">
      <c r="A26" s="461" t="s">
        <v>54</v>
      </c>
      <c r="B26" s="453">
        <v>25814</v>
      </c>
      <c r="C26" s="453">
        <v>27409</v>
      </c>
      <c r="D26" s="108">
        <f t="shared" si="2"/>
        <v>-5.8192564486117675</v>
      </c>
      <c r="E26" s="266" t="s">
        <v>55</v>
      </c>
      <c r="F26" s="480">
        <v>37396</v>
      </c>
      <c r="G26" s="187">
        <v>47322</v>
      </c>
      <c r="H26" s="108">
        <f t="shared" si="3"/>
        <v>-20.975444824817217</v>
      </c>
    </row>
    <row r="27" spans="1:8" s="301" customFormat="1" ht="18" customHeight="1">
      <c r="A27" s="293"/>
      <c r="B27" s="293"/>
      <c r="C27" s="293"/>
      <c r="D27" s="293"/>
      <c r="E27" s="461"/>
      <c r="F27" s="175"/>
      <c r="G27" s="175"/>
      <c r="H27" s="108"/>
    </row>
    <row r="28" spans="1:8" s="301" customFormat="1" ht="18" customHeight="1">
      <c r="A28" s="293"/>
      <c r="B28" s="293"/>
      <c r="C28" s="293"/>
      <c r="D28" s="293"/>
      <c r="E28" s="266"/>
      <c r="F28" s="175"/>
      <c r="G28" s="175"/>
      <c r="H28" s="108"/>
    </row>
    <row r="29" spans="1:8" s="301" customFormat="1" ht="18" customHeight="1">
      <c r="A29" s="175" t="s">
        <v>56</v>
      </c>
      <c r="B29" s="53">
        <f>B5+B20</f>
        <v>4021831</v>
      </c>
      <c r="C29" s="53">
        <f>C5+C20</f>
        <v>3893412</v>
      </c>
      <c r="D29" s="108">
        <f>B29/C29*100-100</f>
        <v>3.298366574100058</v>
      </c>
      <c r="E29" s="189" t="s">
        <v>57</v>
      </c>
      <c r="F29" s="175">
        <f>SUM(F5:F27)</f>
        <v>5876902</v>
      </c>
      <c r="G29" s="187">
        <f>SUM(G5:G27)</f>
        <v>5431789</v>
      </c>
      <c r="H29" s="108">
        <f>F29/G29*100-100</f>
        <v>8.194592978482774</v>
      </c>
    </row>
    <row r="30" spans="2:7" ht="19.5" customHeight="1">
      <c r="B30" s="368">
        <f>B5-SUM(B6:B19)</f>
        <v>0</v>
      </c>
      <c r="C30" s="368">
        <f>C5-SUM(C6:C19)</f>
        <v>0</v>
      </c>
      <c r="F30" s="368">
        <f>F29-SUM(F5:F26)</f>
        <v>0</v>
      </c>
      <c r="G30" s="368">
        <f>G29-SUM(G5:G26)</f>
        <v>0</v>
      </c>
    </row>
    <row r="31" spans="2:3" ht="19.5" customHeight="1">
      <c r="B31" s="368">
        <f>B20-SUM(B21:B26)</f>
        <v>0</v>
      </c>
      <c r="C31" s="368">
        <f>C20-SUM(C21:C26)</f>
        <v>0</v>
      </c>
    </row>
    <row r="32" spans="2:3" ht="19.5" customHeight="1">
      <c r="B32" s="481">
        <f>B29-B20-B5</f>
        <v>0</v>
      </c>
      <c r="C32" s="481">
        <f>C29-C20-C5</f>
        <v>0</v>
      </c>
    </row>
  </sheetData>
  <sheetProtection/>
  <mergeCells count="1">
    <mergeCell ref="A2:H2"/>
  </mergeCells>
  <printOptions horizontalCentered="1" verticalCentered="1"/>
  <pageMargins left="0.67" right="0.39" top="0.35" bottom="0.2" header="0.24" footer="0.28"/>
  <pageSetup horizontalDpi="600" verticalDpi="600" orientation="landscape" paperSize="9" scale="95"/>
  <headerFooter scaleWithDoc="0" alignWithMargins="0">
    <oddFooter>&amp;C—&amp;P—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H26"/>
  <sheetViews>
    <sheetView workbookViewId="0" topLeftCell="A1">
      <pane xSplit="1" ySplit="5" topLeftCell="B6" activePane="bottomRight" state="frozen"/>
      <selection pane="bottomRight" activeCell="A2" sqref="A2:H2"/>
    </sheetView>
  </sheetViews>
  <sheetFormatPr defaultColWidth="9.00390625" defaultRowHeight="14.25"/>
  <cols>
    <col min="1" max="1" width="27.00390625" style="142" customWidth="1"/>
    <col min="2" max="2" width="14.125" style="142" customWidth="1"/>
    <col min="3" max="3" width="12.75390625" style="142" customWidth="1"/>
    <col min="4" max="4" width="11.75390625" style="143" customWidth="1"/>
    <col min="5" max="5" width="29.50390625" style="142" customWidth="1"/>
    <col min="6" max="7" width="10.875" style="142" customWidth="1"/>
    <col min="8" max="8" width="9.375" style="142" customWidth="1"/>
    <col min="9" max="16384" width="8.00390625" style="142" customWidth="1"/>
  </cols>
  <sheetData>
    <row r="1" ht="20.25" customHeight="1">
      <c r="A1" s="144" t="s">
        <v>1452</v>
      </c>
    </row>
    <row r="2" spans="1:8" ht="40.5" customHeight="1">
      <c r="A2" s="145" t="s">
        <v>1453</v>
      </c>
      <c r="B2" s="145"/>
      <c r="C2" s="145"/>
      <c r="D2" s="145"/>
      <c r="E2" s="145"/>
      <c r="F2" s="145"/>
      <c r="G2" s="145"/>
      <c r="H2" s="145"/>
    </row>
    <row r="3" spans="1:8" ht="13.5" customHeight="1">
      <c r="A3" s="144"/>
      <c r="D3" s="146"/>
      <c r="H3" s="144" t="s">
        <v>6</v>
      </c>
    </row>
    <row r="4" spans="1:8" ht="24" customHeight="1">
      <c r="A4" s="147" t="s">
        <v>1454</v>
      </c>
      <c r="B4" s="147"/>
      <c r="C4" s="147"/>
      <c r="D4" s="147"/>
      <c r="E4" s="147" t="s">
        <v>1455</v>
      </c>
      <c r="F4" s="147"/>
      <c r="G4" s="147"/>
      <c r="H4" s="147"/>
    </row>
    <row r="5" spans="1:8" ht="45" customHeight="1">
      <c r="A5" s="148" t="s">
        <v>7</v>
      </c>
      <c r="B5" s="148" t="s">
        <v>8</v>
      </c>
      <c r="C5" s="148" t="s">
        <v>9</v>
      </c>
      <c r="D5" s="149" t="s">
        <v>10</v>
      </c>
      <c r="E5" s="147" t="s">
        <v>11</v>
      </c>
      <c r="F5" s="148" t="s">
        <v>8</v>
      </c>
      <c r="G5" s="148" t="s">
        <v>9</v>
      </c>
      <c r="H5" s="149" t="s">
        <v>10</v>
      </c>
    </row>
    <row r="6" spans="1:8" ht="15" customHeight="1">
      <c r="A6" s="150" t="s">
        <v>1456</v>
      </c>
      <c r="B6" s="159">
        <v>25988.3</v>
      </c>
      <c r="C6" s="160">
        <v>22781</v>
      </c>
      <c r="D6" s="161">
        <f aca="true" t="shared" si="0" ref="D6:D11">B6/C6*100-100</f>
        <v>14.078837627847761</v>
      </c>
      <c r="E6" s="162" t="s">
        <v>1457</v>
      </c>
      <c r="F6" s="154"/>
      <c r="G6" s="148"/>
      <c r="H6" s="152"/>
    </row>
    <row r="7" spans="1:8" ht="15" customHeight="1">
      <c r="A7" s="150" t="s">
        <v>1458</v>
      </c>
      <c r="B7" s="159">
        <v>16345.23</v>
      </c>
      <c r="C7" s="160">
        <v>8170</v>
      </c>
      <c r="D7" s="161">
        <f t="shared" si="0"/>
        <v>100.06401468788249</v>
      </c>
      <c r="E7" s="162" t="s">
        <v>1459</v>
      </c>
      <c r="F7" s="154"/>
      <c r="G7" s="148"/>
      <c r="H7" s="152"/>
    </row>
    <row r="8" spans="1:8" ht="15" customHeight="1">
      <c r="A8" s="150" t="s">
        <v>1460</v>
      </c>
      <c r="B8" s="159">
        <v>8297.93</v>
      </c>
      <c r="C8" s="160">
        <v>13427</v>
      </c>
      <c r="D8" s="161">
        <f t="shared" si="0"/>
        <v>-38.1996723020779</v>
      </c>
      <c r="E8" s="162" t="s">
        <v>1461</v>
      </c>
      <c r="F8" s="154">
        <v>22266.96</v>
      </c>
      <c r="G8" s="148">
        <f>G9+G12+G18</f>
        <v>18908</v>
      </c>
      <c r="H8" s="152">
        <f>F8/G8*100-100</f>
        <v>17.76475565898032</v>
      </c>
    </row>
    <row r="9" spans="1:8" ht="15" customHeight="1">
      <c r="A9" s="150" t="s">
        <v>1462</v>
      </c>
      <c r="B9" s="159">
        <v>47.29</v>
      </c>
      <c r="C9" s="160">
        <v>43</v>
      </c>
      <c r="D9" s="161">
        <f t="shared" si="0"/>
        <v>9.976744186046503</v>
      </c>
      <c r="E9" s="162" t="s">
        <v>1463</v>
      </c>
      <c r="F9" s="154">
        <v>266.13</v>
      </c>
      <c r="G9" s="148"/>
      <c r="H9" s="152"/>
    </row>
    <row r="10" spans="1:8" ht="15" customHeight="1">
      <c r="A10" s="150" t="s">
        <v>1464</v>
      </c>
      <c r="B10" s="159">
        <v>289.85</v>
      </c>
      <c r="C10" s="160">
        <v>466</v>
      </c>
      <c r="D10" s="161">
        <f t="shared" si="0"/>
        <v>-37.80042918454936</v>
      </c>
      <c r="E10" s="162" t="s">
        <v>1465</v>
      </c>
      <c r="F10" s="154">
        <v>266.13</v>
      </c>
      <c r="G10" s="148"/>
      <c r="H10" s="152"/>
    </row>
    <row r="11" spans="1:8" ht="15" customHeight="1">
      <c r="A11" s="150" t="s">
        <v>1466</v>
      </c>
      <c r="B11" s="159">
        <v>1008</v>
      </c>
      <c r="C11" s="160">
        <v>675</v>
      </c>
      <c r="D11" s="161">
        <f t="shared" si="0"/>
        <v>49.33333333333334</v>
      </c>
      <c r="E11" s="162"/>
      <c r="F11" s="154"/>
      <c r="G11" s="148"/>
      <c r="H11" s="152"/>
    </row>
    <row r="12" spans="1:8" ht="15" customHeight="1">
      <c r="A12" s="150" t="s">
        <v>1467</v>
      </c>
      <c r="B12" s="159">
        <v>0</v>
      </c>
      <c r="C12" s="160"/>
      <c r="D12" s="161"/>
      <c r="E12" s="162" t="s">
        <v>1468</v>
      </c>
      <c r="F12" s="154">
        <v>21548.61</v>
      </c>
      <c r="G12" s="148">
        <f>SUM(G13:G17)</f>
        <v>17637</v>
      </c>
      <c r="H12" s="152">
        <f>F12/G12*100-100</f>
        <v>22.17843170607246</v>
      </c>
    </row>
    <row r="13" spans="1:8" ht="15" customHeight="1">
      <c r="A13" s="150" t="s">
        <v>1469</v>
      </c>
      <c r="B13" s="159"/>
      <c r="C13" s="160"/>
      <c r="D13" s="161"/>
      <c r="E13" s="162" t="s">
        <v>1470</v>
      </c>
      <c r="F13" s="154">
        <v>1788.14</v>
      </c>
      <c r="G13" s="148"/>
      <c r="H13" s="152"/>
    </row>
    <row r="14" spans="1:8" ht="15" customHeight="1">
      <c r="A14" s="150" t="s">
        <v>1471</v>
      </c>
      <c r="B14" s="159"/>
      <c r="C14" s="160"/>
      <c r="D14" s="161"/>
      <c r="E14" s="162" t="s">
        <v>1472</v>
      </c>
      <c r="F14" s="154">
        <v>3665.32</v>
      </c>
      <c r="G14" s="148">
        <f>8912+300+30</f>
        <v>9242</v>
      </c>
      <c r="H14" s="152">
        <f aca="true" t="shared" si="1" ref="H14:H19">F14/G14*100-100</f>
        <v>-60.34061891365505</v>
      </c>
    </row>
    <row r="15" spans="1:8" ht="15" customHeight="1">
      <c r="A15" s="150" t="s">
        <v>1473</v>
      </c>
      <c r="B15" s="159">
        <v>0</v>
      </c>
      <c r="C15" s="160"/>
      <c r="D15" s="161"/>
      <c r="E15" s="162" t="s">
        <v>1474</v>
      </c>
      <c r="F15" s="154">
        <v>15935.8</v>
      </c>
      <c r="G15" s="148">
        <v>8170</v>
      </c>
      <c r="H15" s="152">
        <f t="shared" si="1"/>
        <v>95.05263157894737</v>
      </c>
    </row>
    <row r="16" spans="1:8" ht="15" customHeight="1">
      <c r="A16" s="150" t="s">
        <v>1475</v>
      </c>
      <c r="B16" s="159"/>
      <c r="C16" s="160"/>
      <c r="D16" s="161"/>
      <c r="E16" s="162" t="s">
        <v>1476</v>
      </c>
      <c r="F16" s="154">
        <v>30.74</v>
      </c>
      <c r="G16" s="148">
        <v>28</v>
      </c>
      <c r="H16" s="152">
        <f t="shared" si="1"/>
        <v>9.785714285714292</v>
      </c>
    </row>
    <row r="17" spans="1:8" ht="15" customHeight="1">
      <c r="A17" s="150" t="s">
        <v>1477</v>
      </c>
      <c r="B17" s="159">
        <v>0</v>
      </c>
      <c r="C17" s="160"/>
      <c r="D17" s="161"/>
      <c r="E17" s="162" t="s">
        <v>1478</v>
      </c>
      <c r="F17" s="154">
        <v>128.61</v>
      </c>
      <c r="G17" s="148">
        <v>197</v>
      </c>
      <c r="H17" s="152">
        <f t="shared" si="1"/>
        <v>-34.71573604060913</v>
      </c>
    </row>
    <row r="18" spans="1:8" ht="15" customHeight="1">
      <c r="A18" s="150" t="s">
        <v>1479</v>
      </c>
      <c r="B18" s="159"/>
      <c r="C18" s="160"/>
      <c r="D18" s="161"/>
      <c r="E18" s="162" t="s">
        <v>1480</v>
      </c>
      <c r="F18" s="154">
        <v>452.22</v>
      </c>
      <c r="G18" s="148">
        <f>8+1263</f>
        <v>1271</v>
      </c>
      <c r="H18" s="152">
        <f t="shared" si="1"/>
        <v>-64.42014162077103</v>
      </c>
    </row>
    <row r="19" spans="1:8" ht="15" customHeight="1">
      <c r="A19" s="155" t="s">
        <v>1481</v>
      </c>
      <c r="B19" s="159">
        <v>0</v>
      </c>
      <c r="C19" s="160"/>
      <c r="D19" s="161"/>
      <c r="E19" s="162" t="s">
        <v>1482</v>
      </c>
      <c r="F19" s="154">
        <v>452.22</v>
      </c>
      <c r="G19" s="148">
        <f>8+1263</f>
        <v>1271</v>
      </c>
      <c r="H19" s="152">
        <f t="shared" si="1"/>
        <v>-64.42014162077103</v>
      </c>
    </row>
    <row r="20" spans="1:8" ht="15" customHeight="1">
      <c r="A20" s="164" t="s">
        <v>1421</v>
      </c>
      <c r="B20" s="159">
        <v>25988.3</v>
      </c>
      <c r="C20" s="160">
        <v>22781</v>
      </c>
      <c r="D20" s="161">
        <f>B20/C20*100-100</f>
        <v>14.078837627847761</v>
      </c>
      <c r="E20" s="162" t="s">
        <v>1483</v>
      </c>
      <c r="F20" s="154">
        <v>3721.34</v>
      </c>
      <c r="G20" s="148"/>
      <c r="H20" s="152"/>
    </row>
    <row r="21" spans="1:8" ht="15" customHeight="1">
      <c r="A21" s="165" t="s">
        <v>1484</v>
      </c>
      <c r="B21" s="159">
        <v>0</v>
      </c>
      <c r="C21" s="160"/>
      <c r="D21" s="161"/>
      <c r="E21" s="162" t="s">
        <v>1485</v>
      </c>
      <c r="F21" s="154">
        <v>3721.34</v>
      </c>
      <c r="G21" s="148"/>
      <c r="H21" s="152"/>
    </row>
    <row r="22" spans="1:8" ht="15" customHeight="1">
      <c r="A22" s="162"/>
      <c r="B22" s="163"/>
      <c r="C22" s="162"/>
      <c r="D22" s="161"/>
      <c r="E22" s="162" t="s">
        <v>1486</v>
      </c>
      <c r="F22" s="154">
        <v>24980.3</v>
      </c>
      <c r="G22" s="148"/>
      <c r="H22" s="152"/>
    </row>
    <row r="23" spans="1:8" ht="15" customHeight="1">
      <c r="A23" s="162"/>
      <c r="B23" s="163"/>
      <c r="C23" s="162"/>
      <c r="D23" s="161"/>
      <c r="E23" s="162" t="s">
        <v>1487</v>
      </c>
      <c r="F23" s="154"/>
      <c r="G23" s="148"/>
      <c r="H23" s="152"/>
    </row>
    <row r="24" spans="1:8" ht="15" customHeight="1">
      <c r="A24" s="165" t="s">
        <v>122</v>
      </c>
      <c r="B24" s="159">
        <f>B20+B21</f>
        <v>25988.3</v>
      </c>
      <c r="C24" s="160">
        <v>22781</v>
      </c>
      <c r="D24" s="161">
        <f>B24/C24*100-100</f>
        <v>14.078837627847761</v>
      </c>
      <c r="E24" s="162" t="s">
        <v>1488</v>
      </c>
      <c r="F24" s="154">
        <v>25988</v>
      </c>
      <c r="G24" s="148">
        <v>18908</v>
      </c>
      <c r="H24" s="152">
        <f>F24/G24*100-100</f>
        <v>37.44446795007403</v>
      </c>
    </row>
    <row r="25" spans="3:7" ht="12.75" hidden="1">
      <c r="C25" s="142">
        <f>C24-C6</f>
        <v>0</v>
      </c>
      <c r="G25" s="142">
        <f>G24-G6-G8-G20</f>
        <v>0</v>
      </c>
    </row>
    <row r="26" ht="12.75">
      <c r="B26" s="158"/>
    </row>
  </sheetData>
  <sheetProtection/>
  <mergeCells count="3">
    <mergeCell ref="A2:H2"/>
    <mergeCell ref="A4:D4"/>
    <mergeCell ref="E4:H4"/>
  </mergeCells>
  <printOptions horizontalCentered="1"/>
  <pageMargins left="0.35" right="0.35" top="0.98" bottom="0.98" header="0.51" footer="0.51"/>
  <pageSetup horizontalDpi="600" verticalDpi="600" orientation="landscape" paperSize="9"/>
  <headerFooter scaleWithDoc="0" alignWithMargins="0">
    <oddFooter>&amp;C—&amp;P+54—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H23"/>
  <sheetViews>
    <sheetView workbookViewId="0" topLeftCell="A1">
      <pane xSplit="1" ySplit="5" topLeftCell="B6" activePane="bottomRight" state="frozen"/>
      <selection pane="bottomRight" activeCell="A2" sqref="A2:H2"/>
    </sheetView>
  </sheetViews>
  <sheetFormatPr defaultColWidth="9.00390625" defaultRowHeight="14.25"/>
  <cols>
    <col min="1" max="1" width="28.375" style="142" customWidth="1"/>
    <col min="2" max="2" width="12.50390625" style="142" customWidth="1"/>
    <col min="3" max="3" width="10.75390625" style="142" customWidth="1"/>
    <col min="4" max="4" width="11.75390625" style="143" customWidth="1"/>
    <col min="5" max="5" width="30.50390625" style="142" customWidth="1"/>
    <col min="6" max="6" width="10.75390625" style="142" customWidth="1"/>
    <col min="7" max="7" width="8.75390625" style="142" customWidth="1"/>
    <col min="8" max="8" width="9.375" style="142" customWidth="1"/>
    <col min="9" max="16384" width="8.00390625" style="142" customWidth="1"/>
  </cols>
  <sheetData>
    <row r="1" ht="20.25" customHeight="1">
      <c r="A1" s="144" t="s">
        <v>1489</v>
      </c>
    </row>
    <row r="2" spans="1:8" ht="40.5" customHeight="1">
      <c r="A2" s="145" t="s">
        <v>1490</v>
      </c>
      <c r="B2" s="145"/>
      <c r="C2" s="145"/>
      <c r="D2" s="145"/>
      <c r="E2" s="145"/>
      <c r="F2" s="145"/>
      <c r="G2" s="145"/>
      <c r="H2" s="145"/>
    </row>
    <row r="3" spans="1:8" ht="24" customHeight="1">
      <c r="A3" s="144"/>
      <c r="D3" s="146"/>
      <c r="H3" s="144" t="s">
        <v>6</v>
      </c>
    </row>
    <row r="4" spans="1:8" ht="24" customHeight="1">
      <c r="A4" s="147" t="s">
        <v>1454</v>
      </c>
      <c r="B4" s="147"/>
      <c r="C4" s="147"/>
      <c r="D4" s="147"/>
      <c r="E4" s="147" t="s">
        <v>1455</v>
      </c>
      <c r="F4" s="147"/>
      <c r="G4" s="147"/>
      <c r="H4" s="147"/>
    </row>
    <row r="5" spans="1:8" ht="37.5" customHeight="1">
      <c r="A5" s="148" t="s">
        <v>7</v>
      </c>
      <c r="B5" s="148" t="s">
        <v>8</v>
      </c>
      <c r="C5" s="148" t="s">
        <v>9</v>
      </c>
      <c r="D5" s="149" t="s">
        <v>10</v>
      </c>
      <c r="E5" s="147" t="s">
        <v>11</v>
      </c>
      <c r="F5" s="148" t="s">
        <v>8</v>
      </c>
      <c r="G5" s="148" t="s">
        <v>9</v>
      </c>
      <c r="H5" s="149" t="s">
        <v>10</v>
      </c>
    </row>
    <row r="6" spans="1:8" ht="15.75" customHeight="1">
      <c r="A6" s="150" t="s">
        <v>1456</v>
      </c>
      <c r="B6" s="159">
        <v>24980.3</v>
      </c>
      <c r="C6" s="160">
        <v>22221</v>
      </c>
      <c r="D6" s="161">
        <f aca="true" t="shared" si="0" ref="D6:D10">B6/C6*100-100</f>
        <v>12.417532964313025</v>
      </c>
      <c r="E6" s="162" t="s">
        <v>1457</v>
      </c>
      <c r="F6" s="163"/>
      <c r="G6" s="162"/>
      <c r="H6" s="161"/>
    </row>
    <row r="7" spans="1:8" ht="15.75" customHeight="1">
      <c r="A7" s="150" t="s">
        <v>1458</v>
      </c>
      <c r="B7" s="159">
        <v>16345.23</v>
      </c>
      <c r="C7" s="160">
        <v>8170</v>
      </c>
      <c r="D7" s="161">
        <f t="shared" si="0"/>
        <v>100.06401468788249</v>
      </c>
      <c r="E7" s="162" t="s">
        <v>1459</v>
      </c>
      <c r="F7" s="163"/>
      <c r="G7" s="162"/>
      <c r="H7" s="161"/>
    </row>
    <row r="8" spans="1:8" ht="15.75" customHeight="1">
      <c r="A8" s="150" t="s">
        <v>1460</v>
      </c>
      <c r="B8" s="159">
        <v>8297.93</v>
      </c>
      <c r="C8" s="160">
        <v>13427</v>
      </c>
      <c r="D8" s="161">
        <f t="shared" si="0"/>
        <v>-38.1996723020779</v>
      </c>
      <c r="E8" s="162" t="s">
        <v>1461</v>
      </c>
      <c r="F8" s="163">
        <v>22266.96</v>
      </c>
      <c r="G8" s="162">
        <f>G9+G11+G17</f>
        <v>18348</v>
      </c>
      <c r="H8" s="161">
        <f aca="true" t="shared" si="1" ref="H8:H23">F8/G8*100-100</f>
        <v>21.359058207979075</v>
      </c>
    </row>
    <row r="9" spans="1:8" ht="15.75" customHeight="1">
      <c r="A9" s="150" t="s">
        <v>1462</v>
      </c>
      <c r="B9" s="159">
        <v>47.29</v>
      </c>
      <c r="C9" s="160">
        <v>43</v>
      </c>
      <c r="D9" s="161">
        <f t="shared" si="0"/>
        <v>9.976744186046503</v>
      </c>
      <c r="E9" s="162" t="s">
        <v>1463</v>
      </c>
      <c r="F9" s="163">
        <v>266.13</v>
      </c>
      <c r="G9" s="162"/>
      <c r="H9" s="161"/>
    </row>
    <row r="10" spans="1:8" ht="15.75" customHeight="1">
      <c r="A10" s="150" t="s">
        <v>1464</v>
      </c>
      <c r="B10" s="159">
        <v>289.85</v>
      </c>
      <c r="C10" s="160">
        <v>466</v>
      </c>
      <c r="D10" s="161">
        <f t="shared" si="0"/>
        <v>-37.80042918454936</v>
      </c>
      <c r="E10" s="162" t="s">
        <v>1465</v>
      </c>
      <c r="F10" s="163">
        <v>266.13</v>
      </c>
      <c r="G10" s="162"/>
      <c r="H10" s="161"/>
    </row>
    <row r="11" spans="1:8" ht="15.75" customHeight="1">
      <c r="A11" s="150" t="s">
        <v>1467</v>
      </c>
      <c r="B11" s="159">
        <v>0</v>
      </c>
      <c r="C11" s="160"/>
      <c r="D11" s="161"/>
      <c r="E11" s="162" t="s">
        <v>1468</v>
      </c>
      <c r="F11" s="163">
        <v>21548.61</v>
      </c>
      <c r="G11" s="162">
        <f>SUM(G12:G16)</f>
        <v>17637</v>
      </c>
      <c r="H11" s="161">
        <f t="shared" si="1"/>
        <v>22.17843170607246</v>
      </c>
    </row>
    <row r="12" spans="1:8" ht="15.75" customHeight="1">
      <c r="A12" s="150" t="s">
        <v>1469</v>
      </c>
      <c r="B12" s="159"/>
      <c r="C12" s="160"/>
      <c r="D12" s="161"/>
      <c r="E12" s="162" t="s">
        <v>1470</v>
      </c>
      <c r="F12" s="163">
        <v>1788.14</v>
      </c>
      <c r="G12" s="162"/>
      <c r="H12" s="161"/>
    </row>
    <row r="13" spans="1:8" ht="15.75" customHeight="1">
      <c r="A13" s="150" t="s">
        <v>1471</v>
      </c>
      <c r="B13" s="159"/>
      <c r="C13" s="160"/>
      <c r="D13" s="161"/>
      <c r="E13" s="162" t="s">
        <v>1472</v>
      </c>
      <c r="F13" s="163">
        <v>3665.32</v>
      </c>
      <c r="G13" s="162">
        <f>8912+300+30</f>
        <v>9242</v>
      </c>
      <c r="H13" s="161">
        <f t="shared" si="1"/>
        <v>-60.34061891365505</v>
      </c>
    </row>
    <row r="14" spans="1:8" ht="15.75" customHeight="1">
      <c r="A14" s="150" t="s">
        <v>1473</v>
      </c>
      <c r="B14" s="159">
        <v>0</v>
      </c>
      <c r="C14" s="160"/>
      <c r="D14" s="161"/>
      <c r="E14" s="162" t="s">
        <v>1474</v>
      </c>
      <c r="F14" s="163">
        <v>15935.8</v>
      </c>
      <c r="G14" s="162">
        <v>8170</v>
      </c>
      <c r="H14" s="161">
        <f t="shared" si="1"/>
        <v>95.05263157894737</v>
      </c>
    </row>
    <row r="15" spans="1:8" ht="15.75" customHeight="1">
      <c r="A15" s="150" t="s">
        <v>1475</v>
      </c>
      <c r="B15" s="159"/>
      <c r="C15" s="160"/>
      <c r="D15" s="161"/>
      <c r="E15" s="162" t="s">
        <v>1476</v>
      </c>
      <c r="F15" s="163">
        <v>30.74</v>
      </c>
      <c r="G15" s="162">
        <v>28</v>
      </c>
      <c r="H15" s="161">
        <f t="shared" si="1"/>
        <v>9.785714285714292</v>
      </c>
    </row>
    <row r="16" spans="1:8" ht="15.75" customHeight="1">
      <c r="A16" s="150" t="s">
        <v>1477</v>
      </c>
      <c r="B16" s="159">
        <v>0</v>
      </c>
      <c r="C16" s="160"/>
      <c r="D16" s="161"/>
      <c r="E16" s="162" t="s">
        <v>1478</v>
      </c>
      <c r="F16" s="163">
        <v>128.61</v>
      </c>
      <c r="G16" s="162">
        <v>197</v>
      </c>
      <c r="H16" s="161">
        <f t="shared" si="1"/>
        <v>-34.71573604060913</v>
      </c>
    </row>
    <row r="17" spans="1:8" ht="15.75" customHeight="1">
      <c r="A17" s="150" t="s">
        <v>1479</v>
      </c>
      <c r="B17" s="159"/>
      <c r="C17" s="160"/>
      <c r="D17" s="161"/>
      <c r="E17" s="162" t="s">
        <v>1480</v>
      </c>
      <c r="F17" s="163">
        <v>452.22</v>
      </c>
      <c r="G17" s="162">
        <f>8+703</f>
        <v>711</v>
      </c>
      <c r="H17" s="161">
        <f t="shared" si="1"/>
        <v>-36.39662447257383</v>
      </c>
    </row>
    <row r="18" spans="1:8" ht="15.75" customHeight="1">
      <c r="A18" s="155" t="s">
        <v>1481</v>
      </c>
      <c r="B18" s="159">
        <v>0</v>
      </c>
      <c r="C18" s="160"/>
      <c r="D18" s="161"/>
      <c r="E18" s="162" t="s">
        <v>1482</v>
      </c>
      <c r="F18" s="163">
        <v>452.22</v>
      </c>
      <c r="G18" s="162">
        <f>8+703</f>
        <v>711</v>
      </c>
      <c r="H18" s="161">
        <f t="shared" si="1"/>
        <v>-36.39662447257383</v>
      </c>
    </row>
    <row r="19" spans="1:8" ht="15.75" customHeight="1">
      <c r="A19" s="164" t="s">
        <v>1421</v>
      </c>
      <c r="B19" s="159">
        <f>B6+B11+B14+B16+B18</f>
        <v>24980.3</v>
      </c>
      <c r="C19" s="160">
        <v>22221</v>
      </c>
      <c r="D19" s="161">
        <f>B19/C19*100-100</f>
        <v>12.417532964313025</v>
      </c>
      <c r="E19" s="162" t="s">
        <v>1483</v>
      </c>
      <c r="F19" s="163">
        <v>2713.34</v>
      </c>
      <c r="G19" s="162"/>
      <c r="H19" s="161"/>
    </row>
    <row r="20" spans="1:8" ht="15.75" customHeight="1">
      <c r="A20" s="165" t="s">
        <v>1484</v>
      </c>
      <c r="B20" s="159">
        <v>0</v>
      </c>
      <c r="C20" s="160"/>
      <c r="D20" s="161"/>
      <c r="E20" s="162" t="s">
        <v>1485</v>
      </c>
      <c r="F20" s="163">
        <v>2713.34</v>
      </c>
      <c r="G20" s="162"/>
      <c r="H20" s="161"/>
    </row>
    <row r="21" spans="1:8" ht="15.75" customHeight="1">
      <c r="A21" s="162"/>
      <c r="B21" s="163"/>
      <c r="C21" s="162"/>
      <c r="D21" s="161"/>
      <c r="E21" s="162" t="s">
        <v>1486</v>
      </c>
      <c r="F21" s="163">
        <v>24980.3</v>
      </c>
      <c r="G21" s="162"/>
      <c r="H21" s="161"/>
    </row>
    <row r="22" spans="1:8" ht="15.75" customHeight="1">
      <c r="A22" s="162"/>
      <c r="B22" s="163"/>
      <c r="C22" s="162"/>
      <c r="D22" s="161"/>
      <c r="E22" s="162" t="s">
        <v>1487</v>
      </c>
      <c r="F22" s="163"/>
      <c r="G22" s="162"/>
      <c r="H22" s="161"/>
    </row>
    <row r="23" spans="1:8" ht="15.75" customHeight="1">
      <c r="A23" s="165" t="s">
        <v>122</v>
      </c>
      <c r="B23" s="159">
        <f>B19+B20</f>
        <v>24980.3</v>
      </c>
      <c r="C23" s="160">
        <v>22221</v>
      </c>
      <c r="D23" s="161">
        <f>B23/C23*100-100</f>
        <v>12.417532964313025</v>
      </c>
      <c r="E23" s="162" t="s">
        <v>1488</v>
      </c>
      <c r="F23" s="163">
        <v>24980.3</v>
      </c>
      <c r="G23" s="162">
        <v>18348</v>
      </c>
      <c r="H23" s="161">
        <f t="shared" si="1"/>
        <v>36.14726400697623</v>
      </c>
    </row>
  </sheetData>
  <sheetProtection/>
  <mergeCells count="3">
    <mergeCell ref="A2:H2"/>
    <mergeCell ref="A4:D4"/>
    <mergeCell ref="E4:H4"/>
  </mergeCells>
  <printOptions horizontalCentered="1"/>
  <pageMargins left="0.35" right="0.35" top="0.98" bottom="0.98" header="0.51" footer="0.51"/>
  <pageSetup horizontalDpi="600" verticalDpi="600" orientation="landscape" paperSize="9"/>
  <headerFooter scaleWithDoc="0" alignWithMargins="0">
    <oddFooter>&amp;C—&amp;P+55—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H26"/>
  <sheetViews>
    <sheetView workbookViewId="0" topLeftCell="A1">
      <pane xSplit="1" ySplit="5" topLeftCell="B15" activePane="bottomRight" state="frozen"/>
      <selection pane="bottomRight" activeCell="A2" sqref="A2:H2"/>
    </sheetView>
  </sheetViews>
  <sheetFormatPr defaultColWidth="9.00390625" defaultRowHeight="14.25"/>
  <cols>
    <col min="1" max="1" width="27.00390625" style="142" customWidth="1"/>
    <col min="2" max="2" width="12.75390625" style="142" customWidth="1"/>
    <col min="3" max="3" width="11.875" style="142" customWidth="1"/>
    <col min="4" max="4" width="11.75390625" style="143" customWidth="1"/>
    <col min="5" max="5" width="31.375" style="142" customWidth="1"/>
    <col min="6" max="7" width="10.875" style="142" customWidth="1"/>
    <col min="8" max="8" width="9.375" style="142" customWidth="1"/>
    <col min="9" max="16384" width="8.00390625" style="142" customWidth="1"/>
  </cols>
  <sheetData>
    <row r="1" ht="20.25" customHeight="1">
      <c r="A1" s="144" t="s">
        <v>1491</v>
      </c>
    </row>
    <row r="2" spans="1:8" ht="23.25" customHeight="1">
      <c r="A2" s="145" t="s">
        <v>1492</v>
      </c>
      <c r="B2" s="145"/>
      <c r="C2" s="145"/>
      <c r="D2" s="145"/>
      <c r="E2" s="145"/>
      <c r="F2" s="145"/>
      <c r="G2" s="145"/>
      <c r="H2" s="145"/>
    </row>
    <row r="3" spans="1:8" ht="20.25" customHeight="1">
      <c r="A3" s="144"/>
      <c r="D3" s="146"/>
      <c r="H3" s="144" t="s">
        <v>6</v>
      </c>
    </row>
    <row r="4" spans="1:8" ht="24" customHeight="1">
      <c r="A4" s="147" t="s">
        <v>1454</v>
      </c>
      <c r="B4" s="147"/>
      <c r="C4" s="147"/>
      <c r="D4" s="147"/>
      <c r="E4" s="147" t="s">
        <v>1455</v>
      </c>
      <c r="F4" s="147"/>
      <c r="G4" s="147"/>
      <c r="H4" s="147"/>
    </row>
    <row r="5" spans="1:8" ht="54" customHeight="1">
      <c r="A5" s="148" t="s">
        <v>1493</v>
      </c>
      <c r="B5" s="148" t="s">
        <v>93</v>
      </c>
      <c r="C5" s="148" t="s">
        <v>8</v>
      </c>
      <c r="D5" s="149" t="s">
        <v>120</v>
      </c>
      <c r="E5" s="148" t="s">
        <v>1493</v>
      </c>
      <c r="F5" s="148" t="s">
        <v>93</v>
      </c>
      <c r="G5" s="148" t="s">
        <v>118</v>
      </c>
      <c r="H5" s="149" t="s">
        <v>120</v>
      </c>
    </row>
    <row r="6" spans="1:8" ht="15" customHeight="1">
      <c r="A6" s="150" t="s">
        <v>1456</v>
      </c>
      <c r="B6" s="151">
        <v>16792.5</v>
      </c>
      <c r="C6" s="151">
        <v>25988.3</v>
      </c>
      <c r="D6" s="152">
        <f aca="true" t="shared" si="0" ref="D6:D11">B6/C6*100-100</f>
        <v>-35.3843845114917</v>
      </c>
      <c r="E6" s="153" t="s">
        <v>1457</v>
      </c>
      <c r="F6" s="154"/>
      <c r="G6" s="148"/>
      <c r="H6" s="152"/>
    </row>
    <row r="7" spans="1:8" ht="15" customHeight="1">
      <c r="A7" s="150" t="s">
        <v>1458</v>
      </c>
      <c r="B7" s="151">
        <v>8500</v>
      </c>
      <c r="C7" s="151">
        <v>16345.23</v>
      </c>
      <c r="D7" s="152">
        <f t="shared" si="0"/>
        <v>-47.99706091624284</v>
      </c>
      <c r="E7" s="153" t="s">
        <v>1459</v>
      </c>
      <c r="F7" s="154"/>
      <c r="G7" s="148"/>
      <c r="H7" s="152"/>
    </row>
    <row r="8" spans="1:8" ht="15" customHeight="1">
      <c r="A8" s="150" t="s">
        <v>1460</v>
      </c>
      <c r="B8" s="151">
        <v>6548</v>
      </c>
      <c r="C8" s="151">
        <v>8297.93</v>
      </c>
      <c r="D8" s="152">
        <f t="shared" si="0"/>
        <v>-21.08875346020031</v>
      </c>
      <c r="E8" s="153" t="s">
        <v>1461</v>
      </c>
      <c r="F8" s="154">
        <v>12116.4</v>
      </c>
      <c r="G8" s="148">
        <v>25214.65</v>
      </c>
      <c r="H8" s="152">
        <f>F8/G8*100-100</f>
        <v>-51.946983202225695</v>
      </c>
    </row>
    <row r="9" spans="1:8" ht="15" customHeight="1">
      <c r="A9" s="150" t="s">
        <v>1462</v>
      </c>
      <c r="B9" s="151">
        <v>54</v>
      </c>
      <c r="C9" s="151">
        <v>47.29</v>
      </c>
      <c r="D9" s="152">
        <f t="shared" si="0"/>
        <v>14.189046310002112</v>
      </c>
      <c r="E9" s="153" t="s">
        <v>1463</v>
      </c>
      <c r="F9" s="154">
        <v>975</v>
      </c>
      <c r="G9" s="148">
        <v>1695</v>
      </c>
      <c r="H9" s="152"/>
    </row>
    <row r="10" spans="1:8" ht="15" customHeight="1">
      <c r="A10" s="150" t="s">
        <v>1464</v>
      </c>
      <c r="B10" s="151">
        <v>485</v>
      </c>
      <c r="C10" s="151">
        <v>289.85</v>
      </c>
      <c r="D10" s="152">
        <f t="shared" si="0"/>
        <v>67.32792823874416</v>
      </c>
      <c r="E10" s="153" t="s">
        <v>1465</v>
      </c>
      <c r="F10" s="154">
        <v>975</v>
      </c>
      <c r="G10" s="148">
        <v>695</v>
      </c>
      <c r="H10" s="152"/>
    </row>
    <row r="11" spans="1:8" ht="15" customHeight="1">
      <c r="A11" s="150" t="s">
        <v>1466</v>
      </c>
      <c r="B11" s="151">
        <v>1205.5</v>
      </c>
      <c r="C11" s="151">
        <v>1008</v>
      </c>
      <c r="D11" s="152">
        <f t="shared" si="0"/>
        <v>19.593253968253975</v>
      </c>
      <c r="E11" s="153" t="s">
        <v>1494</v>
      </c>
      <c r="F11" s="154"/>
      <c r="G11" s="148">
        <v>1000</v>
      </c>
      <c r="H11" s="152"/>
    </row>
    <row r="12" spans="1:8" ht="15" customHeight="1">
      <c r="A12" s="150" t="s">
        <v>1467</v>
      </c>
      <c r="B12" s="151">
        <v>0</v>
      </c>
      <c r="C12" s="151">
        <v>0</v>
      </c>
      <c r="D12" s="152"/>
      <c r="E12" s="153" t="s">
        <v>1468</v>
      </c>
      <c r="F12" s="154">
        <v>9156.55</v>
      </c>
      <c r="G12" s="148">
        <v>22085.99</v>
      </c>
      <c r="H12" s="152">
        <f aca="true" t="shared" si="1" ref="H12:H17">F12/G12*100-100</f>
        <v>-58.541364910515675</v>
      </c>
    </row>
    <row r="13" spans="1:8" ht="15" customHeight="1">
      <c r="A13" s="150" t="s">
        <v>1469</v>
      </c>
      <c r="B13" s="151"/>
      <c r="C13" s="151"/>
      <c r="D13" s="152"/>
      <c r="E13" s="153" t="s">
        <v>1470</v>
      </c>
      <c r="F13" s="154">
        <v>1625</v>
      </c>
      <c r="G13" s="148">
        <v>1343.13</v>
      </c>
      <c r="H13" s="152"/>
    </row>
    <row r="14" spans="1:8" ht="15" customHeight="1">
      <c r="A14" s="150" t="s">
        <v>1471</v>
      </c>
      <c r="B14" s="151"/>
      <c r="C14" s="151"/>
      <c r="D14" s="152"/>
      <c r="E14" s="153" t="s">
        <v>1472</v>
      </c>
      <c r="F14" s="154">
        <v>2829.45</v>
      </c>
      <c r="G14" s="148">
        <v>10428.31</v>
      </c>
      <c r="H14" s="152">
        <f t="shared" si="1"/>
        <v>-72.8676075030374</v>
      </c>
    </row>
    <row r="15" spans="1:8" ht="15" customHeight="1">
      <c r="A15" s="150" t="s">
        <v>1473</v>
      </c>
      <c r="B15" s="151">
        <v>0</v>
      </c>
      <c r="C15" s="151">
        <v>0</v>
      </c>
      <c r="D15" s="152"/>
      <c r="E15" s="153" t="s">
        <v>1474</v>
      </c>
      <c r="F15" s="154">
        <v>4550</v>
      </c>
      <c r="G15" s="148">
        <v>5298</v>
      </c>
      <c r="H15" s="152">
        <f t="shared" si="1"/>
        <v>-14.118535296338237</v>
      </c>
    </row>
    <row r="16" spans="1:8" ht="15" customHeight="1">
      <c r="A16" s="150" t="s">
        <v>1475</v>
      </c>
      <c r="B16" s="151"/>
      <c r="C16" s="151"/>
      <c r="D16" s="152"/>
      <c r="E16" s="153" t="s">
        <v>1476</v>
      </c>
      <c r="F16" s="154">
        <v>35.1</v>
      </c>
      <c r="G16" s="148">
        <v>29.25</v>
      </c>
      <c r="H16" s="152">
        <f t="shared" si="1"/>
        <v>20</v>
      </c>
    </row>
    <row r="17" spans="1:8" ht="15" customHeight="1">
      <c r="A17" s="150" t="s">
        <v>1477</v>
      </c>
      <c r="B17" s="151">
        <v>0</v>
      </c>
      <c r="C17" s="151">
        <v>0</v>
      </c>
      <c r="D17" s="152"/>
      <c r="E17" s="153" t="s">
        <v>1478</v>
      </c>
      <c r="F17" s="154">
        <v>117</v>
      </c>
      <c r="G17" s="148">
        <v>79.3</v>
      </c>
      <c r="H17" s="152">
        <f t="shared" si="1"/>
        <v>47.540983606557376</v>
      </c>
    </row>
    <row r="18" spans="1:8" ht="15" customHeight="1">
      <c r="A18" s="150" t="s">
        <v>1479</v>
      </c>
      <c r="B18" s="151"/>
      <c r="C18" s="151"/>
      <c r="D18" s="152"/>
      <c r="E18" s="153" t="s">
        <v>1495</v>
      </c>
      <c r="F18" s="154"/>
      <c r="G18" s="148">
        <v>4908</v>
      </c>
      <c r="H18" s="152"/>
    </row>
    <row r="19" spans="1:8" ht="15" customHeight="1">
      <c r="A19" s="155" t="s">
        <v>1481</v>
      </c>
      <c r="B19" s="151">
        <v>0</v>
      </c>
      <c r="C19" s="151">
        <v>0</v>
      </c>
      <c r="D19" s="152"/>
      <c r="E19" s="153" t="s">
        <v>1480</v>
      </c>
      <c r="F19" s="154">
        <v>1984.85</v>
      </c>
      <c r="G19" s="148">
        <v>1433.66</v>
      </c>
      <c r="H19" s="152">
        <f>F19/G19*100-100</f>
        <v>38.446354086743014</v>
      </c>
    </row>
    <row r="20" spans="1:8" ht="15" customHeight="1">
      <c r="A20" s="150" t="s">
        <v>1421</v>
      </c>
      <c r="B20" s="151">
        <v>16792.5</v>
      </c>
      <c r="C20" s="151">
        <v>25988.3</v>
      </c>
      <c r="D20" s="152">
        <f>B20/C20*100-100</f>
        <v>-35.3843845114917</v>
      </c>
      <c r="E20" s="153" t="s">
        <v>1482</v>
      </c>
      <c r="F20" s="154">
        <v>1984.85</v>
      </c>
      <c r="G20" s="148">
        <v>1433.66</v>
      </c>
      <c r="H20" s="152">
        <f aca="true" t="shared" si="2" ref="H20:H25">F20/G20*100-100</f>
        <v>38.446354086743014</v>
      </c>
    </row>
    <row r="21" spans="1:8" ht="15" customHeight="1">
      <c r="A21" s="150" t="s">
        <v>1484</v>
      </c>
      <c r="B21" s="151"/>
      <c r="C21" s="151">
        <v>0</v>
      </c>
      <c r="D21" s="152"/>
      <c r="E21" s="153" t="s">
        <v>1483</v>
      </c>
      <c r="F21" s="154">
        <v>4676.1</v>
      </c>
      <c r="G21" s="148">
        <v>2573.21</v>
      </c>
      <c r="H21" s="152">
        <f t="shared" si="2"/>
        <v>81.72244006513267</v>
      </c>
    </row>
    <row r="22" spans="1:8" ht="15" customHeight="1">
      <c r="A22" s="156"/>
      <c r="B22" s="151"/>
      <c r="C22" s="151"/>
      <c r="D22" s="152"/>
      <c r="E22" s="153" t="s">
        <v>1485</v>
      </c>
      <c r="F22" s="154">
        <v>4676.1</v>
      </c>
      <c r="G22" s="148">
        <v>2573.21</v>
      </c>
      <c r="H22" s="152">
        <f t="shared" si="2"/>
        <v>81.72244006513267</v>
      </c>
    </row>
    <row r="23" spans="1:8" ht="15" customHeight="1">
      <c r="A23" s="157"/>
      <c r="B23" s="154"/>
      <c r="C23" s="154"/>
      <c r="D23" s="152"/>
      <c r="E23" s="153" t="s">
        <v>1486</v>
      </c>
      <c r="F23" s="154">
        <v>16792.5</v>
      </c>
      <c r="G23" s="148">
        <v>27787.86</v>
      </c>
      <c r="H23" s="152">
        <f t="shared" si="2"/>
        <v>-39.568934059693696</v>
      </c>
    </row>
    <row r="24" spans="1:8" ht="15" customHeight="1">
      <c r="A24" s="157"/>
      <c r="B24" s="154"/>
      <c r="C24" s="154"/>
      <c r="D24" s="152"/>
      <c r="E24" s="153" t="s">
        <v>1487</v>
      </c>
      <c r="F24" s="154"/>
      <c r="G24" s="148"/>
      <c r="H24" s="152"/>
    </row>
    <row r="25" spans="1:8" ht="15" customHeight="1">
      <c r="A25" s="150" t="s">
        <v>122</v>
      </c>
      <c r="B25" s="151">
        <v>16792.5</v>
      </c>
      <c r="C25" s="151">
        <f>C20+C21</f>
        <v>25988.3</v>
      </c>
      <c r="D25" s="152">
        <f>B25/C25*100-100</f>
        <v>-35.3843845114917</v>
      </c>
      <c r="E25" s="153" t="s">
        <v>1488</v>
      </c>
      <c r="F25" s="154">
        <v>16792.5</v>
      </c>
      <c r="G25" s="151">
        <v>27787.86</v>
      </c>
      <c r="H25" s="152">
        <f t="shared" si="2"/>
        <v>-39.568934059693696</v>
      </c>
    </row>
    <row r="26" ht="12.75">
      <c r="B26" s="158"/>
    </row>
  </sheetData>
  <sheetProtection/>
  <mergeCells count="3">
    <mergeCell ref="A2:H2"/>
    <mergeCell ref="A4:D4"/>
    <mergeCell ref="E4:H4"/>
  </mergeCells>
  <printOptions horizontalCentered="1"/>
  <pageMargins left="0.35" right="0.35" top="0.98" bottom="0.98" header="0.51" footer="0.51"/>
  <pageSetup horizontalDpi="600" verticalDpi="600" orientation="landscape" paperSize="9"/>
  <headerFooter scaleWithDoc="0" alignWithMargins="0">
    <oddFooter>&amp;C—&amp;P+56—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H26"/>
  <sheetViews>
    <sheetView workbookViewId="0" topLeftCell="A1">
      <pane xSplit="1" ySplit="5" topLeftCell="B6" activePane="bottomRight" state="frozen"/>
      <selection pane="bottomRight" activeCell="A2" sqref="A2:H2"/>
    </sheetView>
  </sheetViews>
  <sheetFormatPr defaultColWidth="9.00390625" defaultRowHeight="14.25"/>
  <cols>
    <col min="1" max="1" width="25.25390625" style="142" customWidth="1"/>
    <col min="2" max="2" width="12.375" style="142" customWidth="1"/>
    <col min="3" max="3" width="11.75390625" style="142" customWidth="1"/>
    <col min="4" max="4" width="12.125" style="143" customWidth="1"/>
    <col min="5" max="5" width="31.375" style="142" customWidth="1"/>
    <col min="6" max="6" width="11.625" style="142" customWidth="1"/>
    <col min="7" max="7" width="10.25390625" style="142" customWidth="1"/>
    <col min="8" max="8" width="9.375" style="142" customWidth="1"/>
    <col min="9" max="16384" width="8.00390625" style="142" customWidth="1"/>
  </cols>
  <sheetData>
    <row r="1" ht="20.25" customHeight="1">
      <c r="A1" s="144" t="s">
        <v>1496</v>
      </c>
    </row>
    <row r="2" spans="1:8" ht="40.5" customHeight="1">
      <c r="A2" s="145" t="s">
        <v>1497</v>
      </c>
      <c r="B2" s="145"/>
      <c r="C2" s="145"/>
      <c r="D2" s="145"/>
      <c r="E2" s="145"/>
      <c r="F2" s="145"/>
      <c r="G2" s="145"/>
      <c r="H2" s="145"/>
    </row>
    <row r="3" spans="1:8" ht="24" customHeight="1">
      <c r="A3" s="144"/>
      <c r="D3" s="146"/>
      <c r="H3" s="144" t="s">
        <v>6</v>
      </c>
    </row>
    <row r="4" spans="1:8" ht="24" customHeight="1">
      <c r="A4" s="147" t="s">
        <v>1454</v>
      </c>
      <c r="B4" s="147"/>
      <c r="C4" s="147"/>
      <c r="D4" s="147"/>
      <c r="E4" s="147" t="s">
        <v>1455</v>
      </c>
      <c r="F4" s="147"/>
      <c r="G4" s="147"/>
      <c r="H4" s="147"/>
    </row>
    <row r="5" spans="1:8" ht="28.5" customHeight="1">
      <c r="A5" s="148" t="s">
        <v>1493</v>
      </c>
      <c r="B5" s="148" t="s">
        <v>93</v>
      </c>
      <c r="C5" s="148" t="s">
        <v>8</v>
      </c>
      <c r="D5" s="149" t="s">
        <v>120</v>
      </c>
      <c r="E5" s="148" t="s">
        <v>1493</v>
      </c>
      <c r="F5" s="148" t="s">
        <v>93</v>
      </c>
      <c r="G5" s="148" t="s">
        <v>118</v>
      </c>
      <c r="H5" s="149" t="s">
        <v>120</v>
      </c>
    </row>
    <row r="6" spans="1:8" ht="15" customHeight="1">
      <c r="A6" s="150" t="s">
        <v>1456</v>
      </c>
      <c r="B6" s="151">
        <v>15587</v>
      </c>
      <c r="C6" s="151">
        <v>24980.3</v>
      </c>
      <c r="D6" s="152">
        <f aca="true" t="shared" si="0" ref="D6:D10">B6/C6*100-100</f>
        <v>-37.602831030852315</v>
      </c>
      <c r="E6" s="153" t="s">
        <v>1457</v>
      </c>
      <c r="F6" s="154"/>
      <c r="G6" s="148"/>
      <c r="H6" s="152"/>
    </row>
    <row r="7" spans="1:8" ht="15" customHeight="1">
      <c r="A7" s="150" t="s">
        <v>1458</v>
      </c>
      <c r="B7" s="151">
        <v>8500</v>
      </c>
      <c r="C7" s="151">
        <v>16345.23</v>
      </c>
      <c r="D7" s="152">
        <f t="shared" si="0"/>
        <v>-47.99706091624284</v>
      </c>
      <c r="E7" s="153" t="s">
        <v>1459</v>
      </c>
      <c r="F7" s="154"/>
      <c r="G7" s="148"/>
      <c r="H7" s="152"/>
    </row>
    <row r="8" spans="1:8" ht="15" customHeight="1">
      <c r="A8" s="150" t="s">
        <v>1460</v>
      </c>
      <c r="B8" s="151">
        <v>6548</v>
      </c>
      <c r="C8" s="151">
        <v>8297.93</v>
      </c>
      <c r="D8" s="152">
        <f t="shared" si="0"/>
        <v>-21.08875346020031</v>
      </c>
      <c r="E8" s="153" t="s">
        <v>1461</v>
      </c>
      <c r="F8" s="154">
        <v>10910.9</v>
      </c>
      <c r="G8" s="148">
        <v>11301.85</v>
      </c>
      <c r="H8" s="152">
        <f>F8/G8*100-100</f>
        <v>-3.4591681892787562</v>
      </c>
    </row>
    <row r="9" spans="1:8" ht="15" customHeight="1">
      <c r="A9" s="150" t="s">
        <v>1462</v>
      </c>
      <c r="B9" s="151">
        <v>54</v>
      </c>
      <c r="C9" s="151">
        <v>47.29</v>
      </c>
      <c r="D9" s="152">
        <f t="shared" si="0"/>
        <v>14.189046310002112</v>
      </c>
      <c r="E9" s="153" t="s">
        <v>1463</v>
      </c>
      <c r="F9" s="154">
        <v>975</v>
      </c>
      <c r="G9" s="148">
        <v>195</v>
      </c>
      <c r="H9" s="152"/>
    </row>
    <row r="10" spans="1:8" ht="15" customHeight="1">
      <c r="A10" s="150" t="s">
        <v>1464</v>
      </c>
      <c r="B10" s="151">
        <v>485</v>
      </c>
      <c r="C10" s="151">
        <v>289.85</v>
      </c>
      <c r="D10" s="152">
        <f t="shared" si="0"/>
        <v>67.32792823874416</v>
      </c>
      <c r="E10" s="153" t="s">
        <v>1465</v>
      </c>
      <c r="F10" s="154">
        <v>975</v>
      </c>
      <c r="G10" s="148">
        <v>195</v>
      </c>
      <c r="H10" s="152"/>
    </row>
    <row r="11" spans="1:8" ht="15" customHeight="1">
      <c r="A11" s="150" t="s">
        <v>1466</v>
      </c>
      <c r="B11" s="151"/>
      <c r="C11" s="151"/>
      <c r="D11" s="152"/>
      <c r="E11" s="153" t="s">
        <v>1494</v>
      </c>
      <c r="F11" s="154"/>
      <c r="G11" s="148"/>
      <c r="H11" s="152"/>
    </row>
    <row r="12" spans="1:8" ht="15" customHeight="1">
      <c r="A12" s="150" t="s">
        <v>1467</v>
      </c>
      <c r="B12" s="151"/>
      <c r="C12" s="151">
        <v>0</v>
      </c>
      <c r="D12" s="152"/>
      <c r="E12" s="153" t="s">
        <v>1468</v>
      </c>
      <c r="F12" s="154">
        <v>9156.55</v>
      </c>
      <c r="G12" s="148">
        <v>10677.99</v>
      </c>
      <c r="H12" s="152">
        <f aca="true" t="shared" si="1" ref="H12:H17">F12/G12*100-100</f>
        <v>-14.248374459987318</v>
      </c>
    </row>
    <row r="13" spans="1:8" ht="15" customHeight="1">
      <c r="A13" s="150" t="s">
        <v>1469</v>
      </c>
      <c r="B13" s="151"/>
      <c r="C13" s="151"/>
      <c r="D13" s="152"/>
      <c r="E13" s="153" t="s">
        <v>1470</v>
      </c>
      <c r="F13" s="154">
        <v>1625</v>
      </c>
      <c r="G13" s="148">
        <v>1343.13</v>
      </c>
      <c r="H13" s="152"/>
    </row>
    <row r="14" spans="1:8" ht="15" customHeight="1">
      <c r="A14" s="150" t="s">
        <v>1471</v>
      </c>
      <c r="B14" s="151"/>
      <c r="C14" s="151"/>
      <c r="D14" s="152"/>
      <c r="E14" s="153" t="s">
        <v>1472</v>
      </c>
      <c r="F14" s="154">
        <v>2829.45</v>
      </c>
      <c r="G14" s="148">
        <v>3928.31</v>
      </c>
      <c r="H14" s="152">
        <f t="shared" si="1"/>
        <v>-27.972843283753065</v>
      </c>
    </row>
    <row r="15" spans="1:8" ht="15" customHeight="1">
      <c r="A15" s="150" t="s">
        <v>1473</v>
      </c>
      <c r="B15" s="151"/>
      <c r="C15" s="151">
        <v>0</v>
      </c>
      <c r="D15" s="152"/>
      <c r="E15" s="153" t="s">
        <v>1474</v>
      </c>
      <c r="F15" s="154">
        <v>4550</v>
      </c>
      <c r="G15" s="148">
        <v>5298</v>
      </c>
      <c r="H15" s="152">
        <f t="shared" si="1"/>
        <v>-14.118535296338237</v>
      </c>
    </row>
    <row r="16" spans="1:8" ht="15" customHeight="1">
      <c r="A16" s="150" t="s">
        <v>1475</v>
      </c>
      <c r="B16" s="151"/>
      <c r="C16" s="151"/>
      <c r="D16" s="152"/>
      <c r="E16" s="153" t="s">
        <v>1476</v>
      </c>
      <c r="F16" s="154">
        <v>35.1</v>
      </c>
      <c r="G16" s="148">
        <v>29.25</v>
      </c>
      <c r="H16" s="152">
        <f t="shared" si="1"/>
        <v>20</v>
      </c>
    </row>
    <row r="17" spans="1:8" ht="15" customHeight="1">
      <c r="A17" s="150" t="s">
        <v>1477</v>
      </c>
      <c r="B17" s="151"/>
      <c r="C17" s="151">
        <v>0</v>
      </c>
      <c r="D17" s="152"/>
      <c r="E17" s="153" t="s">
        <v>1478</v>
      </c>
      <c r="F17" s="154">
        <v>117</v>
      </c>
      <c r="G17" s="148">
        <v>79.3</v>
      </c>
      <c r="H17" s="152">
        <f t="shared" si="1"/>
        <v>47.540983606557376</v>
      </c>
    </row>
    <row r="18" spans="1:8" ht="15" customHeight="1">
      <c r="A18" s="150" t="s">
        <v>1479</v>
      </c>
      <c r="B18" s="151"/>
      <c r="C18" s="151"/>
      <c r="D18" s="152"/>
      <c r="E18" s="153" t="s">
        <v>1495</v>
      </c>
      <c r="F18" s="154"/>
      <c r="G18" s="148"/>
      <c r="H18" s="152"/>
    </row>
    <row r="19" spans="1:8" ht="15" customHeight="1">
      <c r="A19" s="155" t="s">
        <v>1481</v>
      </c>
      <c r="B19" s="151"/>
      <c r="C19" s="151">
        <v>0</v>
      </c>
      <c r="D19" s="152"/>
      <c r="E19" s="153" t="s">
        <v>1480</v>
      </c>
      <c r="F19" s="154">
        <v>779.35</v>
      </c>
      <c r="G19" s="148">
        <v>428.86</v>
      </c>
      <c r="H19" s="152">
        <f aca="true" t="shared" si="2" ref="H19:H23">F19/G19*100-100</f>
        <v>81.72597117940589</v>
      </c>
    </row>
    <row r="20" spans="1:8" ht="15" customHeight="1">
      <c r="A20" s="150" t="s">
        <v>1421</v>
      </c>
      <c r="B20" s="151">
        <v>15587</v>
      </c>
      <c r="C20" s="151">
        <v>24980.3</v>
      </c>
      <c r="D20" s="152">
        <f>B20/C20*100-100</f>
        <v>-37.602831030852315</v>
      </c>
      <c r="E20" s="153" t="s">
        <v>1482</v>
      </c>
      <c r="F20" s="154">
        <v>779.35</v>
      </c>
      <c r="G20" s="148">
        <v>428.86</v>
      </c>
      <c r="H20" s="152">
        <f t="shared" si="2"/>
        <v>81.72597117940589</v>
      </c>
    </row>
    <row r="21" spans="1:8" ht="15" customHeight="1">
      <c r="A21" s="150" t="s">
        <v>1484</v>
      </c>
      <c r="B21" s="151"/>
      <c r="C21" s="151">
        <v>0</v>
      </c>
      <c r="D21" s="152"/>
      <c r="E21" s="153" t="s">
        <v>1483</v>
      </c>
      <c r="F21" s="154">
        <v>4676.1</v>
      </c>
      <c r="G21" s="148">
        <v>2573.21</v>
      </c>
      <c r="H21" s="152">
        <f t="shared" si="2"/>
        <v>81.72244006513267</v>
      </c>
    </row>
    <row r="22" spans="1:8" ht="15" customHeight="1">
      <c r="A22" s="156"/>
      <c r="B22" s="151"/>
      <c r="C22" s="151"/>
      <c r="D22" s="152"/>
      <c r="E22" s="153" t="s">
        <v>1485</v>
      </c>
      <c r="F22" s="154">
        <v>4676.1</v>
      </c>
      <c r="G22" s="148">
        <v>2573.21</v>
      </c>
      <c r="H22" s="152">
        <f t="shared" si="2"/>
        <v>81.72244006513267</v>
      </c>
    </row>
    <row r="23" spans="1:8" ht="15" customHeight="1">
      <c r="A23" s="157"/>
      <c r="B23" s="154"/>
      <c r="C23" s="154"/>
      <c r="D23" s="152"/>
      <c r="E23" s="153" t="s">
        <v>1486</v>
      </c>
      <c r="F23" s="154">
        <v>15587</v>
      </c>
      <c r="G23" s="148">
        <v>13875.06</v>
      </c>
      <c r="H23" s="152">
        <f t="shared" si="2"/>
        <v>12.338252951698948</v>
      </c>
    </row>
    <row r="24" spans="1:8" ht="15" customHeight="1">
      <c r="A24" s="157"/>
      <c r="B24" s="154"/>
      <c r="C24" s="154"/>
      <c r="D24" s="152"/>
      <c r="E24" s="153" t="s">
        <v>1487</v>
      </c>
      <c r="F24" s="154"/>
      <c r="G24" s="148"/>
      <c r="H24" s="152"/>
    </row>
    <row r="25" spans="1:8" ht="15" customHeight="1">
      <c r="A25" s="150" t="s">
        <v>122</v>
      </c>
      <c r="B25" s="151">
        <v>15587</v>
      </c>
      <c r="C25" s="151">
        <v>24980.3</v>
      </c>
      <c r="D25" s="152">
        <f>B25/C25*100-100</f>
        <v>-37.602831030852315</v>
      </c>
      <c r="E25" s="153" t="s">
        <v>1488</v>
      </c>
      <c r="F25" s="154">
        <v>15587</v>
      </c>
      <c r="G25" s="151">
        <v>13875.06</v>
      </c>
      <c r="H25" s="152">
        <f>F25/G25*100-100</f>
        <v>12.338252951698948</v>
      </c>
    </row>
    <row r="26" ht="12.75">
      <c r="B26" s="158"/>
    </row>
  </sheetData>
  <sheetProtection/>
  <mergeCells count="3">
    <mergeCell ref="A2:H2"/>
    <mergeCell ref="A4:D4"/>
    <mergeCell ref="E4:H4"/>
  </mergeCells>
  <printOptions horizontalCentered="1"/>
  <pageMargins left="0.35" right="0.35" top="0.98" bottom="0.98" header="0.51" footer="0.51"/>
  <pageSetup horizontalDpi="600" verticalDpi="600" orientation="landscape" paperSize="9"/>
  <headerFooter scaleWithDoc="0" alignWithMargins="0">
    <oddFooter>&amp;C—&amp;P+57—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H41"/>
  <sheetViews>
    <sheetView showZeros="0" zoomScaleSheetLayoutView="100" workbookViewId="0" topLeftCell="A1">
      <selection activeCell="A2" sqref="A2:H2"/>
    </sheetView>
  </sheetViews>
  <sheetFormatPr defaultColWidth="9.00390625" defaultRowHeight="14.25"/>
  <cols>
    <col min="1" max="1" width="34.375" style="124" customWidth="1"/>
    <col min="2" max="3" width="8.625" style="125" customWidth="1"/>
    <col min="4" max="4" width="8.625" style="126" customWidth="1"/>
    <col min="5" max="5" width="37.625" style="124" customWidth="1"/>
    <col min="6" max="7" width="8.625" style="125" customWidth="1"/>
    <col min="8" max="8" width="8.625" style="126" customWidth="1"/>
    <col min="9" max="16384" width="9.00390625" style="114" customWidth="1"/>
  </cols>
  <sheetData>
    <row r="1" ht="14.25">
      <c r="A1" s="115" t="s">
        <v>1498</v>
      </c>
    </row>
    <row r="2" spans="1:8" ht="21" customHeight="1">
      <c r="A2" s="117" t="s">
        <v>1499</v>
      </c>
      <c r="B2" s="117"/>
      <c r="C2" s="117"/>
      <c r="D2" s="117"/>
      <c r="E2" s="117"/>
      <c r="F2" s="117"/>
      <c r="G2" s="117"/>
      <c r="H2" s="117"/>
    </row>
    <row r="3" spans="1:8" ht="12" customHeight="1">
      <c r="A3" s="118"/>
      <c r="D3" s="127"/>
      <c r="G3" s="128" t="s">
        <v>6</v>
      </c>
      <c r="H3" s="128"/>
    </row>
    <row r="4" spans="1:8" ht="27" customHeight="1">
      <c r="A4" s="129" t="s">
        <v>1500</v>
      </c>
      <c r="B4" s="100" t="s">
        <v>8</v>
      </c>
      <c r="C4" s="100" t="s">
        <v>9</v>
      </c>
      <c r="D4" s="107" t="s">
        <v>1501</v>
      </c>
      <c r="E4" s="130" t="s">
        <v>1502</v>
      </c>
      <c r="F4" s="100" t="s">
        <v>8</v>
      </c>
      <c r="G4" s="100" t="s">
        <v>9</v>
      </c>
      <c r="H4" s="107" t="s">
        <v>1501</v>
      </c>
    </row>
    <row r="5" spans="1:8" ht="16.5" customHeight="1">
      <c r="A5" s="22" t="s">
        <v>1503</v>
      </c>
      <c r="B5" s="131">
        <v>1185717</v>
      </c>
      <c r="C5" s="132">
        <v>1095538</v>
      </c>
      <c r="D5" s="111">
        <f aca="true" t="shared" si="0" ref="D5:D12">(B5/C5)*100-100</f>
        <v>8.231480788434538</v>
      </c>
      <c r="E5" s="22" t="s">
        <v>1504</v>
      </c>
      <c r="F5" s="133">
        <v>1136884</v>
      </c>
      <c r="G5" s="133">
        <v>941462</v>
      </c>
      <c r="H5" s="111">
        <f aca="true" t="shared" si="1" ref="H5:H8">F5/G5*100-100</f>
        <v>20.757290257068277</v>
      </c>
    </row>
    <row r="6" spans="1:8" ht="16.5" customHeight="1">
      <c r="A6" s="22" t="s">
        <v>1505</v>
      </c>
      <c r="B6" s="131">
        <v>793240</v>
      </c>
      <c r="C6" s="132">
        <v>765078</v>
      </c>
      <c r="D6" s="111">
        <f t="shared" si="0"/>
        <v>3.6809318788411076</v>
      </c>
      <c r="E6" s="22" t="s">
        <v>1506</v>
      </c>
      <c r="F6" s="133">
        <v>1071567</v>
      </c>
      <c r="G6" s="133">
        <v>873294</v>
      </c>
      <c r="H6" s="111">
        <f t="shared" si="1"/>
        <v>22.704037815443584</v>
      </c>
    </row>
    <row r="7" spans="1:8" ht="16.5" customHeight="1">
      <c r="A7" s="22" t="s">
        <v>1507</v>
      </c>
      <c r="B7" s="131">
        <v>247788</v>
      </c>
      <c r="C7" s="132">
        <v>232741</v>
      </c>
      <c r="D7" s="111">
        <f t="shared" si="0"/>
        <v>6.465126471055811</v>
      </c>
      <c r="E7" s="22" t="s">
        <v>1508</v>
      </c>
      <c r="F7" s="133">
        <v>812690</v>
      </c>
      <c r="G7" s="133">
        <v>751512</v>
      </c>
      <c r="H7" s="111">
        <f t="shared" si="1"/>
        <v>8.14065510597301</v>
      </c>
    </row>
    <row r="8" spans="1:8" ht="16.5" customHeight="1">
      <c r="A8" s="22" t="s">
        <v>1509</v>
      </c>
      <c r="B8" s="131">
        <v>23237</v>
      </c>
      <c r="C8" s="132">
        <v>30651</v>
      </c>
      <c r="D8" s="111">
        <f t="shared" si="0"/>
        <v>-24.188444096440577</v>
      </c>
      <c r="E8" s="22" t="s">
        <v>1510</v>
      </c>
      <c r="F8" s="133">
        <v>747061</v>
      </c>
      <c r="G8" s="134">
        <v>692685</v>
      </c>
      <c r="H8" s="111">
        <f t="shared" si="1"/>
        <v>7.850032843211551</v>
      </c>
    </row>
    <row r="9" spans="1:8" ht="16.5" customHeight="1">
      <c r="A9" s="22" t="s">
        <v>1511</v>
      </c>
      <c r="B9" s="131">
        <v>726521</v>
      </c>
      <c r="C9" s="135">
        <v>756468</v>
      </c>
      <c r="D9" s="111">
        <f t="shared" si="0"/>
        <v>-3.9587927050450276</v>
      </c>
      <c r="E9" s="22" t="s">
        <v>1512</v>
      </c>
      <c r="F9" s="133">
        <v>61803</v>
      </c>
      <c r="G9" s="133">
        <v>0</v>
      </c>
      <c r="H9" s="111" t="s">
        <v>1513</v>
      </c>
    </row>
    <row r="10" spans="1:8" ht="16.5" customHeight="1">
      <c r="A10" s="22" t="s">
        <v>1505</v>
      </c>
      <c r="B10" s="131">
        <v>529539</v>
      </c>
      <c r="C10" s="135">
        <v>519395</v>
      </c>
      <c r="D10" s="111">
        <f t="shared" si="0"/>
        <v>1.9530415194601431</v>
      </c>
      <c r="E10" s="22" t="s">
        <v>1510</v>
      </c>
      <c r="F10" s="133">
        <v>61803</v>
      </c>
      <c r="G10" s="134">
        <v>0</v>
      </c>
      <c r="H10" s="111" t="s">
        <v>1513</v>
      </c>
    </row>
    <row r="11" spans="1:8" ht="16.5" customHeight="1">
      <c r="A11" s="22" t="s">
        <v>1507</v>
      </c>
      <c r="B11" s="131">
        <v>163022</v>
      </c>
      <c r="C11" s="135">
        <v>166087</v>
      </c>
      <c r="D11" s="111">
        <f t="shared" si="0"/>
        <v>-1.8454183650737264</v>
      </c>
      <c r="E11" s="22" t="s">
        <v>1514</v>
      </c>
      <c r="F11" s="133">
        <v>12227</v>
      </c>
      <c r="G11" s="133">
        <v>10094</v>
      </c>
      <c r="H11" s="111">
        <f aca="true" t="shared" si="2" ref="H11:H18">F11/G11*100-100</f>
        <v>21.131365167426196</v>
      </c>
    </row>
    <row r="12" spans="1:8" ht="16.5" customHeight="1">
      <c r="A12" s="22" t="s">
        <v>1509</v>
      </c>
      <c r="B12" s="131">
        <v>5985</v>
      </c>
      <c r="C12" s="135">
        <v>8674</v>
      </c>
      <c r="D12" s="111">
        <f t="shared" si="0"/>
        <v>-31.00069172238875</v>
      </c>
      <c r="E12" s="22" t="s">
        <v>1515</v>
      </c>
      <c r="F12" s="133">
        <v>3132</v>
      </c>
      <c r="G12" s="134">
        <v>2298</v>
      </c>
      <c r="H12" s="111">
        <f t="shared" si="2"/>
        <v>36.29242819843341</v>
      </c>
    </row>
    <row r="13" spans="1:8" ht="16.5" customHeight="1">
      <c r="A13" s="22" t="s">
        <v>1512</v>
      </c>
      <c r="B13" s="131">
        <v>61804</v>
      </c>
      <c r="C13" s="132">
        <v>0</v>
      </c>
      <c r="D13" s="111" t="s">
        <v>1513</v>
      </c>
      <c r="E13" s="22" t="s">
        <v>1516</v>
      </c>
      <c r="F13" s="133">
        <v>217473</v>
      </c>
      <c r="G13" s="133">
        <v>160469</v>
      </c>
      <c r="H13" s="111">
        <f t="shared" si="2"/>
        <v>35.523372115486495</v>
      </c>
    </row>
    <row r="14" spans="1:8" ht="16.5" customHeight="1">
      <c r="A14" s="22" t="s">
        <v>1505</v>
      </c>
      <c r="B14" s="131">
        <v>43634</v>
      </c>
      <c r="C14" s="135">
        <v>0</v>
      </c>
      <c r="D14" s="111" t="s">
        <v>1513</v>
      </c>
      <c r="E14" s="22" t="s">
        <v>1517</v>
      </c>
      <c r="F14" s="133">
        <v>217141</v>
      </c>
      <c r="G14" s="133">
        <v>160238</v>
      </c>
      <c r="H14" s="111">
        <f t="shared" si="2"/>
        <v>35.51155156704402</v>
      </c>
    </row>
    <row r="15" spans="1:8" ht="16.5" customHeight="1">
      <c r="A15" s="22" t="s">
        <v>1507</v>
      </c>
      <c r="B15" s="131">
        <v>18049</v>
      </c>
      <c r="C15" s="132">
        <v>0</v>
      </c>
      <c r="D15" s="111" t="s">
        <v>1513</v>
      </c>
      <c r="E15" s="22" t="s">
        <v>1518</v>
      </c>
      <c r="F15" s="133">
        <v>12698</v>
      </c>
      <c r="G15" s="133">
        <v>6438</v>
      </c>
      <c r="H15" s="111">
        <f t="shared" si="2"/>
        <v>97.23516620068344</v>
      </c>
    </row>
    <row r="16" spans="1:8" ht="16.5" customHeight="1">
      <c r="A16" s="22" t="s">
        <v>1509</v>
      </c>
      <c r="B16" s="131">
        <v>121</v>
      </c>
      <c r="C16" s="135">
        <v>0</v>
      </c>
      <c r="D16" s="111" t="s">
        <v>1513</v>
      </c>
      <c r="E16" s="22" t="s">
        <v>1519</v>
      </c>
      <c r="F16" s="133">
        <v>12258</v>
      </c>
      <c r="G16" s="133">
        <v>5848</v>
      </c>
      <c r="H16" s="111">
        <f t="shared" si="2"/>
        <v>109.61012311901504</v>
      </c>
    </row>
    <row r="17" spans="1:8" ht="16.5" customHeight="1">
      <c r="A17" s="22" t="s">
        <v>1520</v>
      </c>
      <c r="B17" s="131">
        <v>33298</v>
      </c>
      <c r="C17" s="132">
        <v>49423</v>
      </c>
      <c r="D17" s="111">
        <f>(B17/C17)*100-100</f>
        <v>-32.626509924529074</v>
      </c>
      <c r="E17" s="22" t="s">
        <v>1521</v>
      </c>
      <c r="F17" s="136">
        <v>7817</v>
      </c>
      <c r="G17" s="131">
        <v>6323</v>
      </c>
      <c r="H17" s="111">
        <f t="shared" si="2"/>
        <v>23.628024671832975</v>
      </c>
    </row>
    <row r="18" spans="1:8" ht="16.5" customHeight="1">
      <c r="A18" s="22" t="s">
        <v>1505</v>
      </c>
      <c r="B18" s="131">
        <v>25662</v>
      </c>
      <c r="C18" s="135">
        <v>40932</v>
      </c>
      <c r="D18" s="111">
        <f>(B18/C18)*100-100</f>
        <v>-37.305775432424504</v>
      </c>
      <c r="E18" s="22" t="s">
        <v>1522</v>
      </c>
      <c r="F18" s="136">
        <v>20075</v>
      </c>
      <c r="G18" s="131">
        <v>6326</v>
      </c>
      <c r="H18" s="111">
        <f t="shared" si="2"/>
        <v>217.34113183686372</v>
      </c>
    </row>
    <row r="19" spans="1:8" ht="16.5" customHeight="1">
      <c r="A19" s="22" t="s">
        <v>1507</v>
      </c>
      <c r="B19" s="131">
        <v>0</v>
      </c>
      <c r="C19" s="135">
        <v>0</v>
      </c>
      <c r="D19" s="111" t="s">
        <v>1513</v>
      </c>
      <c r="E19" s="22" t="s">
        <v>1523</v>
      </c>
      <c r="F19" s="136">
        <v>0</v>
      </c>
      <c r="G19" s="131">
        <v>0</v>
      </c>
      <c r="H19" s="111" t="s">
        <v>1513</v>
      </c>
    </row>
    <row r="20" spans="1:8" ht="16.5" customHeight="1">
      <c r="A20" s="22" t="s">
        <v>1509</v>
      </c>
      <c r="B20" s="131">
        <v>5400</v>
      </c>
      <c r="C20" s="135">
        <v>5804</v>
      </c>
      <c r="D20" s="111">
        <f aca="true" t="shared" si="3" ref="D20:D30">(B20/C20)*100-100</f>
        <v>-6.96071674707099</v>
      </c>
      <c r="E20" s="22" t="s">
        <v>1524</v>
      </c>
      <c r="F20" s="136">
        <v>0</v>
      </c>
      <c r="G20" s="131">
        <v>0</v>
      </c>
      <c r="H20" s="111" t="s">
        <v>1513</v>
      </c>
    </row>
    <row r="21" spans="1:8" ht="16.5" customHeight="1">
      <c r="A21" s="22" t="s">
        <v>1525</v>
      </c>
      <c r="B21" s="131">
        <v>210250</v>
      </c>
      <c r="C21" s="132">
        <v>226748</v>
      </c>
      <c r="D21" s="111">
        <f t="shared" si="3"/>
        <v>-7.275918640958253</v>
      </c>
      <c r="E21" s="22" t="s">
        <v>1526</v>
      </c>
      <c r="F21" s="136">
        <v>12176</v>
      </c>
      <c r="G21" s="137">
        <v>6626</v>
      </c>
      <c r="H21" s="111">
        <f>F21/G21*100-100</f>
        <v>83.76094174464234</v>
      </c>
    </row>
    <row r="22" spans="1:8" ht="16.5" customHeight="1">
      <c r="A22" s="22" t="s">
        <v>1505</v>
      </c>
      <c r="B22" s="131">
        <v>174487</v>
      </c>
      <c r="C22" s="135">
        <v>180843</v>
      </c>
      <c r="D22" s="111">
        <f t="shared" si="3"/>
        <v>-3.514650829725227</v>
      </c>
      <c r="E22" s="22" t="s">
        <v>1527</v>
      </c>
      <c r="F22" s="136">
        <v>10097</v>
      </c>
      <c r="G22" s="134">
        <v>5900</v>
      </c>
      <c r="H22" s="111">
        <f>F22/G22*100-100</f>
        <v>71.13559322033899</v>
      </c>
    </row>
    <row r="23" spans="1:8" ht="16.5" customHeight="1">
      <c r="A23" s="22" t="s">
        <v>1507</v>
      </c>
      <c r="B23" s="131">
        <v>26272</v>
      </c>
      <c r="C23" s="135">
        <v>34036</v>
      </c>
      <c r="D23" s="111">
        <f t="shared" si="3"/>
        <v>-22.811141144670344</v>
      </c>
      <c r="E23" s="138"/>
      <c r="F23" s="136">
        <v>0</v>
      </c>
      <c r="G23" s="136"/>
      <c r="H23" s="139"/>
    </row>
    <row r="24" spans="1:8" ht="16.5" customHeight="1">
      <c r="A24" s="22" t="s">
        <v>1509</v>
      </c>
      <c r="B24" s="131">
        <v>9189</v>
      </c>
      <c r="C24" s="135">
        <v>11650</v>
      </c>
      <c r="D24" s="111">
        <f t="shared" si="3"/>
        <v>-21.12446351931331</v>
      </c>
      <c r="E24" s="138"/>
      <c r="F24" s="136">
        <v>0</v>
      </c>
      <c r="G24" s="136"/>
      <c r="H24" s="139"/>
    </row>
    <row r="25" spans="1:8" ht="16.5" customHeight="1">
      <c r="A25" s="22" t="s">
        <v>1528</v>
      </c>
      <c r="B25" s="131">
        <v>16659</v>
      </c>
      <c r="C25" s="132">
        <v>20227</v>
      </c>
      <c r="D25" s="111">
        <f t="shared" si="3"/>
        <v>-17.63978840164137</v>
      </c>
      <c r="E25" s="138"/>
      <c r="F25" s="136"/>
      <c r="G25" s="136"/>
      <c r="H25" s="139"/>
    </row>
    <row r="26" spans="1:8" ht="16.5" customHeight="1">
      <c r="A26" s="22" t="s">
        <v>1505</v>
      </c>
      <c r="B26" s="131">
        <v>11871</v>
      </c>
      <c r="C26" s="135">
        <v>14104</v>
      </c>
      <c r="D26" s="111">
        <f t="shared" si="3"/>
        <v>-15.832387975042536</v>
      </c>
      <c r="E26" s="138"/>
      <c r="F26" s="136"/>
      <c r="G26" s="136"/>
      <c r="H26" s="139"/>
    </row>
    <row r="27" spans="1:8" ht="16.5" customHeight="1">
      <c r="A27" s="22" t="s">
        <v>1507</v>
      </c>
      <c r="B27" s="131">
        <v>3409</v>
      </c>
      <c r="C27" s="132">
        <v>4052</v>
      </c>
      <c r="D27" s="111">
        <f t="shared" si="3"/>
        <v>-15.868706811451133</v>
      </c>
      <c r="E27" s="138"/>
      <c r="F27" s="136"/>
      <c r="G27" s="136"/>
      <c r="H27" s="139"/>
    </row>
    <row r="28" spans="1:8" ht="16.5" customHeight="1">
      <c r="A28" s="22" t="s">
        <v>1509</v>
      </c>
      <c r="B28" s="131">
        <v>1188</v>
      </c>
      <c r="C28" s="135">
        <v>1900</v>
      </c>
      <c r="D28" s="111">
        <f t="shared" si="3"/>
        <v>-37.473684210526315</v>
      </c>
      <c r="E28" s="138"/>
      <c r="F28" s="136"/>
      <c r="G28" s="136"/>
      <c r="H28" s="139"/>
    </row>
    <row r="29" spans="1:8" ht="16.5" customHeight="1">
      <c r="A29" s="140" t="s">
        <v>1529</v>
      </c>
      <c r="B29" s="131">
        <v>8354</v>
      </c>
      <c r="C29" s="132">
        <v>10267</v>
      </c>
      <c r="D29" s="111">
        <f t="shared" si="3"/>
        <v>-18.6325119314308</v>
      </c>
      <c r="E29" s="138"/>
      <c r="F29" s="136"/>
      <c r="G29" s="136"/>
      <c r="H29" s="139"/>
    </row>
    <row r="30" spans="1:8" ht="16.5" customHeight="1">
      <c r="A30" s="22" t="s">
        <v>1505</v>
      </c>
      <c r="B30" s="131">
        <v>8047</v>
      </c>
      <c r="C30" s="132">
        <v>9803</v>
      </c>
      <c r="D30" s="111">
        <f t="shared" si="3"/>
        <v>-17.912883811078245</v>
      </c>
      <c r="E30" s="138"/>
      <c r="F30" s="136"/>
      <c r="G30" s="136"/>
      <c r="H30" s="139"/>
    </row>
    <row r="31" spans="1:8" ht="16.5" customHeight="1">
      <c r="A31" s="22" t="s">
        <v>1507</v>
      </c>
      <c r="B31" s="131">
        <v>0</v>
      </c>
      <c r="C31" s="135">
        <v>0</v>
      </c>
      <c r="D31" s="111" t="s">
        <v>1513</v>
      </c>
      <c r="E31" s="138"/>
      <c r="F31" s="136"/>
      <c r="G31" s="136"/>
      <c r="H31" s="139"/>
    </row>
    <row r="32" spans="1:8" ht="16.5" customHeight="1">
      <c r="A32" s="22" t="s">
        <v>1509</v>
      </c>
      <c r="B32" s="131">
        <v>307</v>
      </c>
      <c r="C32" s="135">
        <v>463</v>
      </c>
      <c r="D32" s="111">
        <f>(B32/C32)*100-100</f>
        <v>-33.693304535637154</v>
      </c>
      <c r="E32" s="138"/>
      <c r="F32" s="136"/>
      <c r="G32" s="136"/>
      <c r="H32" s="139"/>
    </row>
    <row r="33" spans="1:8" ht="16.5" customHeight="1">
      <c r="A33" s="22" t="s">
        <v>1530</v>
      </c>
      <c r="B33" s="131">
        <v>0</v>
      </c>
      <c r="C33" s="132">
        <v>0</v>
      </c>
      <c r="D33" s="111" t="s">
        <v>1513</v>
      </c>
      <c r="E33" s="138"/>
      <c r="F33" s="136"/>
      <c r="G33" s="136"/>
      <c r="H33" s="139"/>
    </row>
    <row r="34" spans="1:8" ht="16.5" customHeight="1">
      <c r="A34" s="22" t="s">
        <v>1505</v>
      </c>
      <c r="B34" s="131">
        <v>0</v>
      </c>
      <c r="C34" s="132">
        <v>0</v>
      </c>
      <c r="D34" s="111" t="s">
        <v>1513</v>
      </c>
      <c r="E34" s="138"/>
      <c r="F34" s="136"/>
      <c r="G34" s="136"/>
      <c r="H34" s="139"/>
    </row>
    <row r="35" spans="1:8" ht="16.5" customHeight="1">
      <c r="A35" s="22" t="s">
        <v>1507</v>
      </c>
      <c r="B35" s="131">
        <v>0</v>
      </c>
      <c r="C35" s="132">
        <v>0</v>
      </c>
      <c r="D35" s="111" t="s">
        <v>1513</v>
      </c>
      <c r="E35" s="138"/>
      <c r="F35" s="136"/>
      <c r="G35" s="136"/>
      <c r="H35" s="139"/>
    </row>
    <row r="36" spans="1:8" ht="16.5" customHeight="1">
      <c r="A36" s="22" t="s">
        <v>1509</v>
      </c>
      <c r="B36" s="131">
        <v>0</v>
      </c>
      <c r="C36" s="132">
        <v>0</v>
      </c>
      <c r="D36" s="111" t="s">
        <v>1513</v>
      </c>
      <c r="E36" s="138"/>
      <c r="F36" s="136"/>
      <c r="G36" s="136"/>
      <c r="H36" s="139"/>
    </row>
    <row r="37" spans="1:8" ht="16.5" customHeight="1">
      <c r="A37" s="22" t="s">
        <v>1531</v>
      </c>
      <c r="B37" s="131">
        <v>128831</v>
      </c>
      <c r="C37" s="132">
        <v>32405</v>
      </c>
      <c r="D37" s="111">
        <f aca="true" t="shared" si="4" ref="D37:D40">(B37/C37)*100-100</f>
        <v>297.56519055701284</v>
      </c>
      <c r="E37" s="138"/>
      <c r="F37" s="136"/>
      <c r="G37" s="136"/>
      <c r="H37" s="139"/>
    </row>
    <row r="38" spans="1:8" ht="16.5" customHeight="1">
      <c r="A38" s="22" t="s">
        <v>1505</v>
      </c>
      <c r="B38" s="131">
        <v>0</v>
      </c>
      <c r="C38" s="135">
        <v>0</v>
      </c>
      <c r="D38" s="111" t="s">
        <v>1513</v>
      </c>
      <c r="E38" s="138"/>
      <c r="F38" s="136"/>
      <c r="G38" s="136"/>
      <c r="H38" s="139"/>
    </row>
    <row r="39" spans="1:8" ht="16.5" customHeight="1">
      <c r="A39" s="22" t="s">
        <v>1507</v>
      </c>
      <c r="B39" s="131">
        <v>37037</v>
      </c>
      <c r="C39" s="141">
        <v>28566</v>
      </c>
      <c r="D39" s="111">
        <f t="shared" si="4"/>
        <v>29.654134285514232</v>
      </c>
      <c r="E39" s="138"/>
      <c r="F39" s="136"/>
      <c r="G39" s="136"/>
      <c r="H39" s="139"/>
    </row>
    <row r="40" spans="1:8" ht="16.5" customHeight="1">
      <c r="A40" s="22" t="s">
        <v>1509</v>
      </c>
      <c r="B40" s="131">
        <v>1047</v>
      </c>
      <c r="C40" s="134">
        <v>2160</v>
      </c>
      <c r="D40" s="111">
        <f t="shared" si="4"/>
        <v>-51.52777777777778</v>
      </c>
      <c r="E40" s="138"/>
      <c r="F40" s="136"/>
      <c r="G40" s="136"/>
      <c r="H40" s="139"/>
    </row>
    <row r="41" spans="1:8" ht="12" customHeight="1">
      <c r="A41" s="23" t="s">
        <v>1532</v>
      </c>
      <c r="B41" s="23"/>
      <c r="C41" s="23"/>
      <c r="D41" s="23"/>
      <c r="E41" s="23"/>
      <c r="F41" s="23"/>
      <c r="G41" s="23"/>
      <c r="H41" s="24"/>
    </row>
  </sheetData>
  <sheetProtection/>
  <mergeCells count="3">
    <mergeCell ref="A2:H2"/>
    <mergeCell ref="G3:H3"/>
    <mergeCell ref="A41:H41"/>
  </mergeCells>
  <printOptions/>
  <pageMargins left="0.73" right="0.39" top="0.98" bottom="0.98" header="0.51" footer="0.51"/>
  <pageSetup horizontalDpi="600" verticalDpi="600" orientation="landscape" paperSize="9"/>
  <headerFooter scaleWithDoc="0" alignWithMargins="0">
    <oddFooter>&amp;C—&amp;P+58—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C23"/>
  <sheetViews>
    <sheetView showZeros="0" zoomScaleSheetLayoutView="100" workbookViewId="0" topLeftCell="A1">
      <selection activeCell="A2" sqref="A2:C2"/>
    </sheetView>
  </sheetViews>
  <sheetFormatPr defaultColWidth="9.00390625" defaultRowHeight="14.25"/>
  <cols>
    <col min="1" max="1" width="58.00390625" style="114" customWidth="1"/>
    <col min="2" max="2" width="32.75390625" style="114" customWidth="1"/>
    <col min="3" max="3" width="26.25390625" style="114" customWidth="1"/>
    <col min="4" max="16384" width="9.00390625" style="114" customWidth="1"/>
  </cols>
  <sheetData>
    <row r="1" spans="1:2" ht="14.25">
      <c r="A1" s="115" t="s">
        <v>1533</v>
      </c>
      <c r="B1" s="116"/>
    </row>
    <row r="2" spans="1:3" ht="25.5">
      <c r="A2" s="117" t="s">
        <v>1534</v>
      </c>
      <c r="B2" s="117"/>
      <c r="C2" s="117"/>
    </row>
    <row r="3" spans="1:3" ht="14.25">
      <c r="A3" s="118"/>
      <c r="B3" s="118"/>
      <c r="C3" s="119" t="s">
        <v>6</v>
      </c>
    </row>
    <row r="4" spans="1:3" ht="22.5">
      <c r="A4" s="120" t="s">
        <v>1502</v>
      </c>
      <c r="B4" s="100" t="s">
        <v>8</v>
      </c>
      <c r="C4" s="100" t="s">
        <v>9</v>
      </c>
    </row>
    <row r="5" spans="1:3" ht="18.75" customHeight="1">
      <c r="A5" s="22" t="s">
        <v>1535</v>
      </c>
      <c r="B5" s="121">
        <v>48832</v>
      </c>
      <c r="C5" s="100">
        <v>154076</v>
      </c>
    </row>
    <row r="6" spans="1:3" ht="18.75" customHeight="1">
      <c r="A6" s="22" t="s">
        <v>1536</v>
      </c>
      <c r="B6" s="121">
        <v>1021705</v>
      </c>
      <c r="C6" s="100">
        <v>1061932</v>
      </c>
    </row>
    <row r="7" spans="1:3" ht="18.75" customHeight="1">
      <c r="A7" s="22" t="s">
        <v>1537</v>
      </c>
      <c r="B7" s="121">
        <v>-86169</v>
      </c>
      <c r="C7" s="121">
        <v>4956</v>
      </c>
    </row>
    <row r="8" spans="1:3" ht="18.75" customHeight="1">
      <c r="A8" s="22" t="s">
        <v>1538</v>
      </c>
      <c r="B8" s="121">
        <v>153703</v>
      </c>
      <c r="C8" s="100">
        <v>239872</v>
      </c>
    </row>
    <row r="9" spans="1:3" ht="18.75" customHeight="1">
      <c r="A9" s="22" t="s">
        <v>1539</v>
      </c>
      <c r="B9" s="121">
        <v>1</v>
      </c>
      <c r="C9" s="100">
        <v>0</v>
      </c>
    </row>
    <row r="10" spans="1:3" ht="18.75" customHeight="1">
      <c r="A10" s="22" t="s">
        <v>1540</v>
      </c>
      <c r="B10" s="121">
        <v>1</v>
      </c>
      <c r="C10" s="100">
        <v>0</v>
      </c>
    </row>
    <row r="11" spans="1:3" ht="18.75" customHeight="1">
      <c r="A11" s="22" t="s">
        <v>1541</v>
      </c>
      <c r="B11" s="121">
        <v>21071</v>
      </c>
      <c r="C11" s="100">
        <v>39329</v>
      </c>
    </row>
    <row r="12" spans="1:3" ht="18.75" customHeight="1">
      <c r="A12" s="22" t="s">
        <v>1542</v>
      </c>
      <c r="B12" s="121">
        <v>242649</v>
      </c>
      <c r="C12" s="100">
        <v>221578</v>
      </c>
    </row>
    <row r="13" spans="1:3" ht="18.75" customHeight="1">
      <c r="A13" s="22" t="s">
        <v>1543</v>
      </c>
      <c r="B13" s="121">
        <v>-7224</v>
      </c>
      <c r="C13" s="100">
        <v>66280</v>
      </c>
    </row>
    <row r="14" spans="1:3" ht="18.75" customHeight="1">
      <c r="A14" s="22" t="s">
        <v>1544</v>
      </c>
      <c r="B14" s="121">
        <v>412161</v>
      </c>
      <c r="C14" s="100">
        <v>419385</v>
      </c>
    </row>
    <row r="15" spans="1:3" ht="18.75" customHeight="1">
      <c r="A15" s="22" t="s">
        <v>1545</v>
      </c>
      <c r="B15" s="121">
        <v>3962</v>
      </c>
      <c r="C15" s="100">
        <v>13789</v>
      </c>
    </row>
    <row r="16" spans="1:3" ht="18.75" customHeight="1">
      <c r="A16" s="22" t="s">
        <v>1546</v>
      </c>
      <c r="B16" s="121">
        <v>76765</v>
      </c>
      <c r="C16" s="100">
        <v>72803</v>
      </c>
    </row>
    <row r="17" spans="1:3" ht="18.75" customHeight="1">
      <c r="A17" s="22" t="s">
        <v>1547</v>
      </c>
      <c r="B17" s="122">
        <v>537</v>
      </c>
      <c r="C17" s="123">
        <v>3944</v>
      </c>
    </row>
    <row r="18" spans="1:3" ht="18.75" customHeight="1">
      <c r="A18" s="22" t="s">
        <v>1548</v>
      </c>
      <c r="B18" s="122">
        <v>19772</v>
      </c>
      <c r="C18" s="123">
        <v>19236</v>
      </c>
    </row>
    <row r="19" spans="1:3" ht="18.75" customHeight="1">
      <c r="A19" s="22" t="s">
        <v>1549</v>
      </c>
      <c r="B19" s="122">
        <v>0</v>
      </c>
      <c r="C19" s="123">
        <v>0</v>
      </c>
    </row>
    <row r="20" spans="1:3" ht="18.75" customHeight="1">
      <c r="A20" s="22" t="s">
        <v>1550</v>
      </c>
      <c r="B20" s="122">
        <v>0</v>
      </c>
      <c r="C20" s="123">
        <v>0</v>
      </c>
    </row>
    <row r="21" spans="1:3" ht="18.75" customHeight="1">
      <c r="A21" s="22" t="s">
        <v>1551</v>
      </c>
      <c r="B21" s="122">
        <v>116655</v>
      </c>
      <c r="C21" s="123">
        <v>25780</v>
      </c>
    </row>
    <row r="22" spans="1:3" ht="18.75" customHeight="1">
      <c r="A22" s="22" t="s">
        <v>1552</v>
      </c>
      <c r="B22" s="122">
        <v>116655</v>
      </c>
      <c r="C22" s="123">
        <v>89059</v>
      </c>
    </row>
    <row r="23" spans="1:3" ht="22.5" customHeight="1">
      <c r="A23" s="23" t="s">
        <v>1532</v>
      </c>
      <c r="B23" s="23"/>
      <c r="C23" s="23"/>
    </row>
  </sheetData>
  <sheetProtection/>
  <mergeCells count="2">
    <mergeCell ref="A2:C2"/>
    <mergeCell ref="A23:C23"/>
  </mergeCells>
  <printOptions horizontalCentered="1" verticalCentered="1"/>
  <pageMargins left="0.75" right="0.75" top="0.98" bottom="0.22" header="0.51" footer="0.36"/>
  <pageSetup horizontalDpi="600" verticalDpi="600" orientation="landscape" paperSize="9" scale="98"/>
  <headerFooter scaleWithDoc="0" alignWithMargins="0">
    <oddFooter>&amp;C—&amp;P+60—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T42"/>
  <sheetViews>
    <sheetView showZeros="0" workbookViewId="0" topLeftCell="A1">
      <pane xSplit="1" ySplit="5" topLeftCell="B6" activePane="bottomRight" state="frozen"/>
      <selection pane="bottomRight" activeCell="A2" sqref="A2:J2"/>
    </sheetView>
  </sheetViews>
  <sheetFormatPr defaultColWidth="9.00390625" defaultRowHeight="14.25" customHeight="1"/>
  <cols>
    <col min="1" max="1" width="28.00390625" style="0" customWidth="1"/>
    <col min="2" max="3" width="10.625" style="21" customWidth="1"/>
    <col min="4" max="4" width="9.50390625" style="55" customWidth="1"/>
    <col min="5" max="6" width="10.625" style="21" customWidth="1"/>
    <col min="7" max="7" width="10.625" style="55" customWidth="1"/>
    <col min="8" max="8" width="10.625" style="21" customWidth="1"/>
    <col min="9" max="9" width="9.375" style="21" customWidth="1"/>
    <col min="10" max="10" width="10.00390625" style="55" customWidth="1"/>
    <col min="11" max="11" width="12.625" style="0" hidden="1" customWidth="1"/>
    <col min="12" max="12" width="10.875" style="0" hidden="1" customWidth="1"/>
    <col min="13" max="15" width="9.00390625" style="0" hidden="1" customWidth="1"/>
    <col min="16" max="17" width="9.50390625" style="0" hidden="1" customWidth="1"/>
    <col min="18" max="18" width="10.50390625" style="0" hidden="1" customWidth="1"/>
    <col min="19" max="19" width="11.875" style="0" hidden="1" customWidth="1"/>
    <col min="20" max="20" width="9.00390625" style="0" hidden="1" customWidth="1"/>
  </cols>
  <sheetData>
    <row r="1" spans="1:2" ht="14.25" customHeight="1">
      <c r="A1" s="33" t="s">
        <v>1553</v>
      </c>
      <c r="B1" s="56"/>
    </row>
    <row r="2" spans="1:10" ht="24.75" customHeight="1">
      <c r="A2" s="9" t="s">
        <v>1554</v>
      </c>
      <c r="B2" s="9"/>
      <c r="C2" s="9"/>
      <c r="D2" s="9"/>
      <c r="E2" s="9"/>
      <c r="F2" s="9"/>
      <c r="G2" s="9"/>
      <c r="H2" s="9"/>
      <c r="I2" s="9"/>
      <c r="J2" s="9"/>
    </row>
    <row r="3" spans="1:10" ht="15.75" customHeight="1">
      <c r="A3" s="10"/>
      <c r="B3" s="57"/>
      <c r="C3" s="57"/>
      <c r="D3" s="38"/>
      <c r="E3" s="39"/>
      <c r="J3" s="112" t="s">
        <v>6</v>
      </c>
    </row>
    <row r="4" spans="1:11" ht="21" customHeight="1">
      <c r="A4" s="13" t="s">
        <v>1500</v>
      </c>
      <c r="B4" s="41" t="s">
        <v>87</v>
      </c>
      <c r="C4" s="42"/>
      <c r="D4" s="43"/>
      <c r="E4" s="59" t="s">
        <v>88</v>
      </c>
      <c r="F4" s="60"/>
      <c r="G4" s="61"/>
      <c r="H4" s="59" t="s">
        <v>89</v>
      </c>
      <c r="I4" s="60"/>
      <c r="J4" s="61"/>
      <c r="K4" t="s">
        <v>891</v>
      </c>
    </row>
    <row r="5" spans="1:14" ht="37.5" customHeight="1">
      <c r="A5" s="13"/>
      <c r="B5" s="67" t="s">
        <v>8</v>
      </c>
      <c r="C5" s="67" t="s">
        <v>9</v>
      </c>
      <c r="D5" s="52" t="s">
        <v>1555</v>
      </c>
      <c r="E5" s="66" t="s">
        <v>8</v>
      </c>
      <c r="F5" s="67" t="s">
        <v>9</v>
      </c>
      <c r="G5" s="52" t="s">
        <v>1555</v>
      </c>
      <c r="H5" s="67" t="s">
        <v>8</v>
      </c>
      <c r="I5" s="67" t="s">
        <v>9</v>
      </c>
      <c r="J5" s="52" t="s">
        <v>1555</v>
      </c>
      <c r="K5" s="67" t="s">
        <v>8</v>
      </c>
      <c r="L5" s="67" t="s">
        <v>9</v>
      </c>
      <c r="M5" s="52" t="s">
        <v>1555</v>
      </c>
      <c r="N5" s="110" t="s">
        <v>1556</v>
      </c>
    </row>
    <row r="6" spans="1:20" ht="16.5" customHeight="1">
      <c r="A6" s="50" t="s">
        <v>1503</v>
      </c>
      <c r="B6" s="66">
        <v>45568.396787</v>
      </c>
      <c r="C6" s="66">
        <v>80511.287004</v>
      </c>
      <c r="D6" s="111">
        <f aca="true" t="shared" si="0" ref="D6:D11">B6/C6*100-100</f>
        <v>-43.401231699679514</v>
      </c>
      <c r="E6" s="66">
        <v>101212</v>
      </c>
      <c r="F6" s="66">
        <v>54942</v>
      </c>
      <c r="G6" s="111">
        <f aca="true" t="shared" si="1" ref="G6:G8">E6/F6*100-100</f>
        <v>84.21608241418224</v>
      </c>
      <c r="H6" s="66">
        <v>35532</v>
      </c>
      <c r="I6" s="66">
        <v>22213</v>
      </c>
      <c r="J6" s="111">
        <f aca="true" t="shared" si="2" ref="J6:J13">H6/I6*100-100</f>
        <v>59.960383559177046</v>
      </c>
      <c r="K6">
        <v>11293967.870000001</v>
      </c>
      <c r="L6">
        <f aca="true" t="shared" si="3" ref="L6:L9">L10+L38</f>
        <v>78012870.03999999</v>
      </c>
      <c r="N6">
        <f>K6/10000</f>
        <v>1129.3967870000001</v>
      </c>
      <c r="O6">
        <f>L6/10000</f>
        <v>7801.287003999999</v>
      </c>
      <c r="P6" s="113">
        <f>B6+N6</f>
        <v>46697.793573999996</v>
      </c>
      <c r="Q6" s="113">
        <f>C6+O6</f>
        <v>88312.574008</v>
      </c>
      <c r="R6" s="113">
        <f aca="true" t="shared" si="4" ref="R6:S9">B6+E6+H6</f>
        <v>182312.396787</v>
      </c>
      <c r="S6" s="113">
        <f t="shared" si="4"/>
        <v>157666.28700399998</v>
      </c>
      <c r="T6">
        <f aca="true" t="shared" si="5" ref="T6:T9">R6/S6*100-100</f>
        <v>15.63181974493682</v>
      </c>
    </row>
    <row r="7" spans="1:20" ht="16.5" customHeight="1">
      <c r="A7" s="50" t="s">
        <v>1505</v>
      </c>
      <c r="B7" s="66">
        <v>37091.065002</v>
      </c>
      <c r="C7" s="66">
        <v>74436.270925</v>
      </c>
      <c r="D7" s="111">
        <f t="shared" si="0"/>
        <v>-50.17071040625884</v>
      </c>
      <c r="E7" s="66">
        <v>84604</v>
      </c>
      <c r="F7" s="66">
        <v>46790</v>
      </c>
      <c r="G7" s="111">
        <f t="shared" si="1"/>
        <v>80.81641376362472</v>
      </c>
      <c r="H7" s="66">
        <v>24969</v>
      </c>
      <c r="I7" s="66">
        <v>16019</v>
      </c>
      <c r="J7" s="111">
        <f t="shared" si="2"/>
        <v>55.87115300580561</v>
      </c>
      <c r="K7">
        <v>3580650.02</v>
      </c>
      <c r="L7">
        <f t="shared" si="3"/>
        <v>75402709.25</v>
      </c>
      <c r="N7">
        <f aca="true" t="shared" si="6" ref="N7:N41">K7/10000</f>
        <v>358.065002</v>
      </c>
      <c r="O7">
        <f aca="true" t="shared" si="7" ref="O7:O41">L7/10000</f>
        <v>7540.270925</v>
      </c>
      <c r="P7" s="113">
        <f aca="true" t="shared" si="8" ref="P7:P41">B7+N7</f>
        <v>37449.130004000006</v>
      </c>
      <c r="Q7" s="113">
        <f aca="true" t="shared" si="9" ref="Q7:Q41">C7+O7</f>
        <v>81976.54185000001</v>
      </c>
      <c r="R7" s="113">
        <f t="shared" si="4"/>
        <v>146664.06500200002</v>
      </c>
      <c r="S7" s="113">
        <f t="shared" si="4"/>
        <v>137245.27092500002</v>
      </c>
      <c r="T7">
        <f t="shared" si="5"/>
        <v>6.862745807939021</v>
      </c>
    </row>
    <row r="8" spans="1:20" ht="16.5" customHeight="1">
      <c r="A8" s="50" t="s">
        <v>1507</v>
      </c>
      <c r="B8" s="66">
        <v>3613.285</v>
      </c>
      <c r="C8" s="66">
        <v>3648.34624</v>
      </c>
      <c r="D8" s="111">
        <f t="shared" si="0"/>
        <v>-0.9610173402840161</v>
      </c>
      <c r="E8" s="66">
        <v>9314</v>
      </c>
      <c r="F8" s="66">
        <v>7468</v>
      </c>
      <c r="G8" s="111">
        <f t="shared" si="1"/>
        <v>24.718800214247466</v>
      </c>
      <c r="H8" s="66">
        <v>5336</v>
      </c>
      <c r="I8" s="66">
        <v>2467</v>
      </c>
      <c r="J8" s="111">
        <f t="shared" si="2"/>
        <v>116.29509525739766</v>
      </c>
      <c r="K8">
        <v>7322850</v>
      </c>
      <c r="L8">
        <f t="shared" si="3"/>
        <v>2163462.4</v>
      </c>
      <c r="N8">
        <f t="shared" si="6"/>
        <v>732.285</v>
      </c>
      <c r="O8">
        <f t="shared" si="7"/>
        <v>216.34624</v>
      </c>
      <c r="P8" s="113">
        <f t="shared" si="8"/>
        <v>4345.57</v>
      </c>
      <c r="Q8" s="113">
        <f t="shared" si="9"/>
        <v>3864.6924799999997</v>
      </c>
      <c r="R8" s="113">
        <f t="shared" si="4"/>
        <v>18263.285</v>
      </c>
      <c r="S8" s="113">
        <f t="shared" si="4"/>
        <v>13583.346239999999</v>
      </c>
      <c r="T8">
        <f t="shared" si="5"/>
        <v>34.453504146265516</v>
      </c>
    </row>
    <row r="9" spans="1:20" ht="16.5" customHeight="1">
      <c r="A9" s="50" t="s">
        <v>1509</v>
      </c>
      <c r="B9" s="66">
        <v>1530.030871</v>
      </c>
      <c r="C9" s="66">
        <v>1737.79754</v>
      </c>
      <c r="D9" s="111">
        <f t="shared" si="0"/>
        <v>-11.955746524995078</v>
      </c>
      <c r="E9" s="66">
        <v>1838</v>
      </c>
      <c r="F9" s="66">
        <v>263</v>
      </c>
      <c r="G9" s="111"/>
      <c r="H9" s="66">
        <v>1058</v>
      </c>
      <c r="I9" s="66">
        <v>3692</v>
      </c>
      <c r="J9" s="111">
        <f t="shared" si="2"/>
        <v>-71.34344528710726</v>
      </c>
      <c r="K9">
        <v>360308.71</v>
      </c>
      <c r="L9">
        <f t="shared" si="3"/>
        <v>417975.39999999997</v>
      </c>
      <c r="N9">
        <f t="shared" si="6"/>
        <v>36.030871000000005</v>
      </c>
      <c r="O9">
        <f t="shared" si="7"/>
        <v>41.79754</v>
      </c>
      <c r="P9" s="113">
        <f t="shared" si="8"/>
        <v>1566.0617419999999</v>
      </c>
      <c r="Q9" s="113">
        <f t="shared" si="9"/>
        <v>1779.59508</v>
      </c>
      <c r="R9" s="113">
        <f t="shared" si="4"/>
        <v>4426.030871</v>
      </c>
      <c r="S9" s="113">
        <f t="shared" si="4"/>
        <v>5692.79754</v>
      </c>
      <c r="T9">
        <f t="shared" si="5"/>
        <v>-22.252094161072165</v>
      </c>
    </row>
    <row r="10" spans="1:17" ht="16.5" customHeight="1">
      <c r="A10" s="50" t="s">
        <v>1511</v>
      </c>
      <c r="B10" s="67">
        <v>31365.352087</v>
      </c>
      <c r="C10" s="67">
        <v>73697.847509</v>
      </c>
      <c r="D10" s="111">
        <f t="shared" si="0"/>
        <v>-57.44061306109428</v>
      </c>
      <c r="E10" s="66">
        <v>78565</v>
      </c>
      <c r="F10" s="66">
        <v>42381</v>
      </c>
      <c r="G10" s="111">
        <f>E10/F10*100-100</f>
        <v>85.37788159788585</v>
      </c>
      <c r="H10" s="66">
        <v>20934</v>
      </c>
      <c r="I10" s="66">
        <v>18084</v>
      </c>
      <c r="J10" s="111">
        <f t="shared" si="2"/>
        <v>15.759787657597869</v>
      </c>
      <c r="K10">
        <v>1793520.87</v>
      </c>
      <c r="L10">
        <v>72078475.08999999</v>
      </c>
      <c r="N10">
        <f t="shared" si="6"/>
        <v>179.352087</v>
      </c>
      <c r="O10">
        <f t="shared" si="7"/>
        <v>7207.847508999999</v>
      </c>
      <c r="P10" s="113">
        <f t="shared" si="8"/>
        <v>31544.704174</v>
      </c>
      <c r="Q10" s="113">
        <f t="shared" si="9"/>
        <v>80905.695018</v>
      </c>
    </row>
    <row r="11" spans="1:17" ht="16.5" customHeight="1">
      <c r="A11" s="50" t="s">
        <v>1505</v>
      </c>
      <c r="B11" s="67">
        <v>29596.569002</v>
      </c>
      <c r="C11" s="67">
        <v>71376.946325</v>
      </c>
      <c r="D11" s="111">
        <f t="shared" si="0"/>
        <v>-58.53483438862989</v>
      </c>
      <c r="E11" s="66">
        <v>76114</v>
      </c>
      <c r="F11" s="66">
        <v>41943</v>
      </c>
      <c r="G11" s="111">
        <f>E11/F11*100-100</f>
        <v>81.47009036072765</v>
      </c>
      <c r="H11" s="66">
        <v>19921</v>
      </c>
      <c r="I11" s="66">
        <v>14275</v>
      </c>
      <c r="J11" s="111">
        <f t="shared" si="2"/>
        <v>39.55166374781086</v>
      </c>
      <c r="K11">
        <v>1425690.02</v>
      </c>
      <c r="L11">
        <v>71659463.25</v>
      </c>
      <c r="N11">
        <f t="shared" si="6"/>
        <v>142.569002</v>
      </c>
      <c r="O11">
        <f t="shared" si="7"/>
        <v>7165.946325</v>
      </c>
      <c r="P11" s="113">
        <f t="shared" si="8"/>
        <v>29739.138004</v>
      </c>
      <c r="Q11" s="113">
        <f t="shared" si="9"/>
        <v>78542.89265</v>
      </c>
    </row>
    <row r="12" spans="1:17" ht="16.5" customHeight="1">
      <c r="A12" s="50" t="s">
        <v>1507</v>
      </c>
      <c r="B12" s="67">
        <v>0</v>
      </c>
      <c r="C12" s="67">
        <v>1</v>
      </c>
      <c r="D12" s="111"/>
      <c r="E12" s="66">
        <v>600</v>
      </c>
      <c r="F12" s="66">
        <v>0</v>
      </c>
      <c r="G12" s="111" t="s">
        <v>1513</v>
      </c>
      <c r="H12" s="66"/>
      <c r="I12" s="66">
        <v>136</v>
      </c>
      <c r="J12" s="111">
        <f t="shared" si="2"/>
        <v>-100</v>
      </c>
      <c r="N12">
        <f t="shared" si="6"/>
        <v>0</v>
      </c>
      <c r="O12">
        <f t="shared" si="7"/>
        <v>0</v>
      </c>
      <c r="P12" s="113">
        <f t="shared" si="8"/>
        <v>0</v>
      </c>
      <c r="Q12" s="113">
        <f t="shared" si="9"/>
        <v>1</v>
      </c>
    </row>
    <row r="13" spans="1:17" ht="16.5" customHeight="1">
      <c r="A13" s="50" t="s">
        <v>1509</v>
      </c>
      <c r="B13" s="67">
        <v>1493.767171</v>
      </c>
      <c r="C13" s="67">
        <v>1654.028885</v>
      </c>
      <c r="D13" s="111">
        <f>B13/C13*100-100</f>
        <v>-9.689172628929029</v>
      </c>
      <c r="E13" s="66">
        <v>1540</v>
      </c>
      <c r="F13" s="66">
        <v>20</v>
      </c>
      <c r="G13" s="111"/>
      <c r="H13" s="66">
        <v>995</v>
      </c>
      <c r="I13" s="66">
        <v>3638</v>
      </c>
      <c r="J13" s="111">
        <f t="shared" si="2"/>
        <v>-72.64980758658604</v>
      </c>
      <c r="K13">
        <v>337671.71</v>
      </c>
      <c r="L13">
        <v>390288.85</v>
      </c>
      <c r="N13">
        <f t="shared" si="6"/>
        <v>33.767171000000005</v>
      </c>
      <c r="O13">
        <f t="shared" si="7"/>
        <v>39.028884999999995</v>
      </c>
      <c r="P13" s="113">
        <f t="shared" si="8"/>
        <v>1527.534342</v>
      </c>
      <c r="Q13" s="113">
        <f t="shared" si="9"/>
        <v>1693.05777</v>
      </c>
    </row>
    <row r="14" spans="1:17" ht="16.5" customHeight="1">
      <c r="A14" s="50" t="s">
        <v>1512</v>
      </c>
      <c r="B14" s="67">
        <v>4577</v>
      </c>
      <c r="C14" s="67">
        <v>0</v>
      </c>
      <c r="D14" s="111" t="s">
        <v>1513</v>
      </c>
      <c r="E14" s="66">
        <v>3101</v>
      </c>
      <c r="F14" s="66"/>
      <c r="G14" s="111" t="s">
        <v>1513</v>
      </c>
      <c r="H14" s="66">
        <v>2500</v>
      </c>
      <c r="I14" s="66"/>
      <c r="J14" s="111"/>
      <c r="N14">
        <f t="shared" si="6"/>
        <v>0</v>
      </c>
      <c r="O14">
        <f t="shared" si="7"/>
        <v>0</v>
      </c>
      <c r="P14" s="113">
        <f t="shared" si="8"/>
        <v>4577</v>
      </c>
      <c r="Q14" s="113">
        <f t="shared" si="9"/>
        <v>0</v>
      </c>
    </row>
    <row r="15" spans="1:17" ht="16.5" customHeight="1">
      <c r="A15" s="50" t="s">
        <v>1505</v>
      </c>
      <c r="B15" s="67">
        <v>4536</v>
      </c>
      <c r="C15" s="67">
        <v>0</v>
      </c>
      <c r="D15" s="111" t="s">
        <v>1513</v>
      </c>
      <c r="E15" s="66">
        <v>3005</v>
      </c>
      <c r="F15" s="66"/>
      <c r="G15" s="111" t="s">
        <v>1513</v>
      </c>
      <c r="H15" s="66">
        <v>2460</v>
      </c>
      <c r="I15" s="66"/>
      <c r="J15" s="111"/>
      <c r="N15">
        <f t="shared" si="6"/>
        <v>0</v>
      </c>
      <c r="O15">
        <f t="shared" si="7"/>
        <v>0</v>
      </c>
      <c r="P15" s="113">
        <f t="shared" si="8"/>
        <v>4536</v>
      </c>
      <c r="Q15" s="113">
        <f t="shared" si="9"/>
        <v>0</v>
      </c>
    </row>
    <row r="16" spans="1:17" ht="16.5" customHeight="1">
      <c r="A16" s="50" t="s">
        <v>1507</v>
      </c>
      <c r="B16" s="67">
        <v>41</v>
      </c>
      <c r="C16" s="67">
        <v>0</v>
      </c>
      <c r="D16" s="111"/>
      <c r="E16" s="66">
        <v>76</v>
      </c>
      <c r="F16" s="66"/>
      <c r="G16" s="111"/>
      <c r="H16" s="66">
        <v>39</v>
      </c>
      <c r="I16" s="66"/>
      <c r="J16" s="111"/>
      <c r="N16">
        <f t="shared" si="6"/>
        <v>0</v>
      </c>
      <c r="O16">
        <f t="shared" si="7"/>
        <v>0</v>
      </c>
      <c r="P16" s="113">
        <f t="shared" si="8"/>
        <v>41</v>
      </c>
      <c r="Q16" s="113">
        <f t="shared" si="9"/>
        <v>0</v>
      </c>
    </row>
    <row r="17" spans="1:17" ht="16.5" customHeight="1">
      <c r="A17" s="50" t="s">
        <v>1509</v>
      </c>
      <c r="B17" s="67">
        <v>0</v>
      </c>
      <c r="C17" s="67">
        <v>0</v>
      </c>
      <c r="D17" s="111" t="s">
        <v>1513</v>
      </c>
      <c r="E17" s="66">
        <v>20</v>
      </c>
      <c r="F17" s="66"/>
      <c r="G17" s="111" t="s">
        <v>1513</v>
      </c>
      <c r="H17" s="66">
        <v>1</v>
      </c>
      <c r="I17" s="66"/>
      <c r="J17" s="111"/>
      <c r="N17">
        <f t="shared" si="6"/>
        <v>0</v>
      </c>
      <c r="O17">
        <f t="shared" si="7"/>
        <v>0</v>
      </c>
      <c r="P17" s="113">
        <f t="shared" si="8"/>
        <v>0</v>
      </c>
      <c r="Q17" s="113">
        <f t="shared" si="9"/>
        <v>0</v>
      </c>
    </row>
    <row r="18" spans="1:17" ht="16.5" customHeight="1">
      <c r="A18" s="50" t="s">
        <v>1520</v>
      </c>
      <c r="B18" s="67">
        <v>346</v>
      </c>
      <c r="C18" s="67">
        <v>918</v>
      </c>
      <c r="D18" s="111"/>
      <c r="E18" s="66">
        <v>713</v>
      </c>
      <c r="F18" s="66">
        <v>1130</v>
      </c>
      <c r="G18" s="111"/>
      <c r="H18" s="66"/>
      <c r="I18" s="66"/>
      <c r="J18" s="111"/>
      <c r="N18">
        <f t="shared" si="6"/>
        <v>0</v>
      </c>
      <c r="O18">
        <f t="shared" si="7"/>
        <v>0</v>
      </c>
      <c r="P18" s="113">
        <f t="shared" si="8"/>
        <v>346</v>
      </c>
      <c r="Q18" s="113">
        <f t="shared" si="9"/>
        <v>918</v>
      </c>
    </row>
    <row r="19" spans="1:17" ht="16.5" customHeight="1">
      <c r="A19" s="50" t="s">
        <v>1505</v>
      </c>
      <c r="B19" s="67">
        <v>329</v>
      </c>
      <c r="C19" s="67">
        <v>879</v>
      </c>
      <c r="D19" s="111"/>
      <c r="E19" s="66">
        <v>610</v>
      </c>
      <c r="F19" s="66">
        <v>982</v>
      </c>
      <c r="G19" s="111"/>
      <c r="H19" s="66">
        <v>0</v>
      </c>
      <c r="I19" s="66"/>
      <c r="J19" s="111"/>
      <c r="N19">
        <f t="shared" si="6"/>
        <v>0</v>
      </c>
      <c r="O19">
        <f t="shared" si="7"/>
        <v>0</v>
      </c>
      <c r="P19" s="113">
        <f t="shared" si="8"/>
        <v>329</v>
      </c>
      <c r="Q19" s="113">
        <f t="shared" si="9"/>
        <v>879</v>
      </c>
    </row>
    <row r="20" spans="1:17" ht="16.5" customHeight="1">
      <c r="A20" s="50" t="s">
        <v>1507</v>
      </c>
      <c r="B20" s="67">
        <v>0</v>
      </c>
      <c r="C20" s="67">
        <v>0</v>
      </c>
      <c r="D20" s="111"/>
      <c r="E20" s="66"/>
      <c r="F20" s="66"/>
      <c r="G20" s="111"/>
      <c r="H20" s="66"/>
      <c r="I20" s="66"/>
      <c r="J20" s="111"/>
      <c r="N20">
        <f t="shared" si="6"/>
        <v>0</v>
      </c>
      <c r="O20">
        <f t="shared" si="7"/>
        <v>0</v>
      </c>
      <c r="P20" s="113">
        <f t="shared" si="8"/>
        <v>0</v>
      </c>
      <c r="Q20" s="113">
        <f t="shared" si="9"/>
        <v>0</v>
      </c>
    </row>
    <row r="21" spans="1:17" ht="16.5" customHeight="1">
      <c r="A21" s="50" t="s">
        <v>1509</v>
      </c>
      <c r="B21" s="67">
        <v>12</v>
      </c>
      <c r="C21" s="67">
        <v>39</v>
      </c>
      <c r="D21" s="111"/>
      <c r="E21" s="66">
        <v>97</v>
      </c>
      <c r="F21" s="66">
        <v>147</v>
      </c>
      <c r="G21" s="111"/>
      <c r="H21" s="66"/>
      <c r="I21" s="66"/>
      <c r="J21" s="111"/>
      <c r="N21">
        <f t="shared" si="6"/>
        <v>0</v>
      </c>
      <c r="O21">
        <f t="shared" si="7"/>
        <v>0</v>
      </c>
      <c r="P21" s="113">
        <f t="shared" si="8"/>
        <v>12</v>
      </c>
      <c r="Q21" s="113">
        <f t="shared" si="9"/>
        <v>39</v>
      </c>
    </row>
    <row r="22" spans="1:17" ht="16.5" customHeight="1">
      <c r="A22" s="50" t="s">
        <v>1525</v>
      </c>
      <c r="B22" s="67">
        <v>542</v>
      </c>
      <c r="C22" s="67">
        <v>0</v>
      </c>
      <c r="D22" s="111" t="s">
        <v>1513</v>
      </c>
      <c r="E22" s="66">
        <v>902</v>
      </c>
      <c r="F22" s="66">
        <v>218</v>
      </c>
      <c r="G22" s="111">
        <f aca="true" t="shared" si="10" ref="G22:G27">E22/F22*100-100</f>
        <v>313.76146788990826</v>
      </c>
      <c r="H22" s="66">
        <v>810</v>
      </c>
      <c r="I22" s="66">
        <v>253</v>
      </c>
      <c r="J22" s="111">
        <f>H22/I22*100-100</f>
        <v>220.15810276679844</v>
      </c>
      <c r="N22">
        <f t="shared" si="6"/>
        <v>0</v>
      </c>
      <c r="O22">
        <f t="shared" si="7"/>
        <v>0</v>
      </c>
      <c r="P22" s="113">
        <f t="shared" si="8"/>
        <v>542</v>
      </c>
      <c r="Q22" s="113">
        <f t="shared" si="9"/>
        <v>0</v>
      </c>
    </row>
    <row r="23" spans="1:17" ht="16.5" customHeight="1">
      <c r="A23" s="50" t="s">
        <v>1505</v>
      </c>
      <c r="B23" s="67">
        <v>542</v>
      </c>
      <c r="C23" s="67">
        <v>0</v>
      </c>
      <c r="D23" s="111" t="s">
        <v>1513</v>
      </c>
      <c r="E23" s="66">
        <v>900</v>
      </c>
      <c r="F23" s="66"/>
      <c r="G23" s="111" t="s">
        <v>1513</v>
      </c>
      <c r="H23" s="66">
        <v>810</v>
      </c>
      <c r="I23" s="66">
        <v>253</v>
      </c>
      <c r="J23" s="111">
        <f>H23/I23*100-100</f>
        <v>220.15810276679844</v>
      </c>
      <c r="N23">
        <f t="shared" si="6"/>
        <v>0</v>
      </c>
      <c r="O23">
        <f t="shared" si="7"/>
        <v>0</v>
      </c>
      <c r="P23" s="113">
        <f t="shared" si="8"/>
        <v>542</v>
      </c>
      <c r="Q23" s="113">
        <f t="shared" si="9"/>
        <v>0</v>
      </c>
    </row>
    <row r="24" spans="1:17" ht="16.5" customHeight="1">
      <c r="A24" s="50" t="s">
        <v>1507</v>
      </c>
      <c r="B24" s="67">
        <v>0</v>
      </c>
      <c r="C24" s="67">
        <v>0</v>
      </c>
      <c r="D24" s="111" t="s">
        <v>1513</v>
      </c>
      <c r="E24" s="66"/>
      <c r="F24" s="66">
        <v>218</v>
      </c>
      <c r="G24" s="111"/>
      <c r="H24" s="66"/>
      <c r="I24" s="66"/>
      <c r="J24" s="111"/>
      <c r="N24">
        <f t="shared" si="6"/>
        <v>0</v>
      </c>
      <c r="O24">
        <f t="shared" si="7"/>
        <v>0</v>
      </c>
      <c r="P24" s="113">
        <f t="shared" si="8"/>
        <v>0</v>
      </c>
      <c r="Q24" s="113">
        <f t="shared" si="9"/>
        <v>0</v>
      </c>
    </row>
    <row r="25" spans="1:17" ht="16.5" customHeight="1">
      <c r="A25" s="50" t="s">
        <v>1509</v>
      </c>
      <c r="B25" s="67">
        <v>0</v>
      </c>
      <c r="C25" s="67">
        <v>0</v>
      </c>
      <c r="D25" s="111" t="s">
        <v>1513</v>
      </c>
      <c r="E25" s="66">
        <v>2</v>
      </c>
      <c r="F25" s="66"/>
      <c r="G25" s="111" t="s">
        <v>1513</v>
      </c>
      <c r="H25" s="66">
        <v>1</v>
      </c>
      <c r="I25" s="66">
        <v>0</v>
      </c>
      <c r="J25" s="111" t="s">
        <v>1513</v>
      </c>
      <c r="N25">
        <f t="shared" si="6"/>
        <v>0</v>
      </c>
      <c r="O25">
        <f t="shared" si="7"/>
        <v>0</v>
      </c>
      <c r="P25" s="113">
        <f t="shared" si="8"/>
        <v>0</v>
      </c>
      <c r="Q25" s="113">
        <f t="shared" si="9"/>
        <v>0</v>
      </c>
    </row>
    <row r="26" spans="1:17" ht="16.5" customHeight="1">
      <c r="A26" s="50" t="s">
        <v>1528</v>
      </c>
      <c r="B26" s="67">
        <v>1153</v>
      </c>
      <c r="C26" s="67">
        <v>528</v>
      </c>
      <c r="D26" s="111">
        <f>B26/C26*100-100</f>
        <v>118.37121212121212</v>
      </c>
      <c r="E26" s="66">
        <v>990</v>
      </c>
      <c r="F26" s="66">
        <v>924</v>
      </c>
      <c r="G26" s="111">
        <f t="shared" si="10"/>
        <v>7.142857142857139</v>
      </c>
      <c r="H26" s="66">
        <v>35</v>
      </c>
      <c r="I26" s="66">
        <v>35</v>
      </c>
      <c r="J26" s="111"/>
      <c r="N26">
        <f t="shared" si="6"/>
        <v>0</v>
      </c>
      <c r="O26">
        <f t="shared" si="7"/>
        <v>0</v>
      </c>
      <c r="P26" s="113">
        <f t="shared" si="8"/>
        <v>1153</v>
      </c>
      <c r="Q26" s="113">
        <f t="shared" si="9"/>
        <v>528</v>
      </c>
    </row>
    <row r="27" spans="1:17" ht="16.5" customHeight="1">
      <c r="A27" s="50" t="s">
        <v>1505</v>
      </c>
      <c r="B27" s="67">
        <v>1140</v>
      </c>
      <c r="C27" s="67">
        <v>503</v>
      </c>
      <c r="D27" s="111">
        <f>B27/C27*100-100</f>
        <v>126.64015904572565</v>
      </c>
      <c r="E27" s="66">
        <v>984</v>
      </c>
      <c r="F27" s="66">
        <v>922</v>
      </c>
      <c r="G27" s="111">
        <f t="shared" si="10"/>
        <v>6.7245119305856775</v>
      </c>
      <c r="H27" s="66">
        <v>33</v>
      </c>
      <c r="I27" s="66">
        <v>35</v>
      </c>
      <c r="J27" s="111"/>
      <c r="N27">
        <f t="shared" si="6"/>
        <v>0</v>
      </c>
      <c r="O27">
        <f t="shared" si="7"/>
        <v>0</v>
      </c>
      <c r="P27" s="113">
        <f t="shared" si="8"/>
        <v>1140</v>
      </c>
      <c r="Q27" s="113">
        <f t="shared" si="9"/>
        <v>503</v>
      </c>
    </row>
    <row r="28" spans="1:17" ht="16.5" customHeight="1">
      <c r="A28" s="50" t="s">
        <v>1507</v>
      </c>
      <c r="B28" s="67">
        <v>0</v>
      </c>
      <c r="C28" s="67">
        <v>2.4</v>
      </c>
      <c r="D28" s="111"/>
      <c r="E28" s="66"/>
      <c r="F28" s="66"/>
      <c r="G28" s="111"/>
      <c r="H28" s="66"/>
      <c r="I28" s="66"/>
      <c r="J28" s="111"/>
      <c r="N28">
        <f t="shared" si="6"/>
        <v>0</v>
      </c>
      <c r="O28">
        <f t="shared" si="7"/>
        <v>0</v>
      </c>
      <c r="P28" s="113">
        <f t="shared" si="8"/>
        <v>0</v>
      </c>
      <c r="Q28" s="113">
        <f t="shared" si="9"/>
        <v>2.4</v>
      </c>
    </row>
    <row r="29" spans="1:17" ht="16.5" customHeight="1">
      <c r="A29" s="50" t="s">
        <v>1509</v>
      </c>
      <c r="B29" s="67">
        <v>13</v>
      </c>
      <c r="C29" s="67">
        <v>0</v>
      </c>
      <c r="D29" s="111" t="s">
        <v>1513</v>
      </c>
      <c r="E29" s="66">
        <v>6</v>
      </c>
      <c r="F29" s="66"/>
      <c r="G29" s="111"/>
      <c r="H29" s="66">
        <v>2</v>
      </c>
      <c r="I29" s="66"/>
      <c r="J29" s="111"/>
      <c r="N29">
        <f t="shared" si="6"/>
        <v>0</v>
      </c>
      <c r="O29">
        <f t="shared" si="7"/>
        <v>0</v>
      </c>
      <c r="P29" s="113">
        <f t="shared" si="8"/>
        <v>13</v>
      </c>
      <c r="Q29" s="113">
        <f t="shared" si="9"/>
        <v>0</v>
      </c>
    </row>
    <row r="30" spans="1:17" ht="16.5" customHeight="1">
      <c r="A30" s="50" t="s">
        <v>1529</v>
      </c>
      <c r="B30" s="67">
        <v>76</v>
      </c>
      <c r="C30" s="67">
        <v>242</v>
      </c>
      <c r="D30" s="111"/>
      <c r="E30" s="66">
        <v>173</v>
      </c>
      <c r="F30" s="66">
        <v>282</v>
      </c>
      <c r="G30" s="111"/>
      <c r="H30" s="66"/>
      <c r="I30" s="66"/>
      <c r="J30" s="111"/>
      <c r="N30">
        <f t="shared" si="6"/>
        <v>0</v>
      </c>
      <c r="O30">
        <f t="shared" si="7"/>
        <v>0</v>
      </c>
      <c r="P30" s="113">
        <f t="shared" si="8"/>
        <v>76</v>
      </c>
      <c r="Q30" s="113">
        <f t="shared" si="9"/>
        <v>242</v>
      </c>
    </row>
    <row r="31" spans="1:17" ht="16.5" customHeight="1">
      <c r="A31" s="50" t="s">
        <v>1505</v>
      </c>
      <c r="B31" s="67">
        <v>73</v>
      </c>
      <c r="C31" s="67">
        <v>238</v>
      </c>
      <c r="D31" s="111"/>
      <c r="E31" s="66">
        <v>170</v>
      </c>
      <c r="F31" s="66">
        <v>266</v>
      </c>
      <c r="G31" s="111"/>
      <c r="H31" s="66"/>
      <c r="I31" s="66"/>
      <c r="J31" s="111"/>
      <c r="N31">
        <f t="shared" si="6"/>
        <v>0</v>
      </c>
      <c r="O31">
        <f t="shared" si="7"/>
        <v>0</v>
      </c>
      <c r="P31" s="113">
        <f t="shared" si="8"/>
        <v>73</v>
      </c>
      <c r="Q31" s="113">
        <f t="shared" si="9"/>
        <v>238</v>
      </c>
    </row>
    <row r="32" spans="1:17" ht="16.5" customHeight="1">
      <c r="A32" s="50" t="s">
        <v>1507</v>
      </c>
      <c r="B32" s="67">
        <v>0</v>
      </c>
      <c r="C32" s="67">
        <v>0</v>
      </c>
      <c r="D32" s="111"/>
      <c r="E32" s="66"/>
      <c r="F32" s="66"/>
      <c r="G32" s="111"/>
      <c r="H32" s="66"/>
      <c r="I32" s="66"/>
      <c r="J32" s="111"/>
      <c r="N32">
        <f t="shared" si="6"/>
        <v>0</v>
      </c>
      <c r="O32">
        <f t="shared" si="7"/>
        <v>0</v>
      </c>
      <c r="P32" s="113">
        <f t="shared" si="8"/>
        <v>0</v>
      </c>
      <c r="Q32" s="113">
        <f t="shared" si="9"/>
        <v>0</v>
      </c>
    </row>
    <row r="33" spans="1:17" ht="16.5" customHeight="1">
      <c r="A33" s="50" t="s">
        <v>1509</v>
      </c>
      <c r="B33" s="67">
        <v>3</v>
      </c>
      <c r="C33" s="67">
        <v>4</v>
      </c>
      <c r="D33" s="111"/>
      <c r="E33" s="66">
        <v>3</v>
      </c>
      <c r="F33" s="66">
        <v>16</v>
      </c>
      <c r="G33" s="111"/>
      <c r="H33" s="66"/>
      <c r="I33" s="66"/>
      <c r="J33" s="111"/>
      <c r="N33">
        <f t="shared" si="6"/>
        <v>0</v>
      </c>
      <c r="O33">
        <f t="shared" si="7"/>
        <v>0</v>
      </c>
      <c r="P33" s="113">
        <f t="shared" si="8"/>
        <v>3</v>
      </c>
      <c r="Q33" s="113">
        <f t="shared" si="9"/>
        <v>4</v>
      </c>
    </row>
    <row r="34" spans="1:17" ht="16.5" customHeight="1">
      <c r="A34" s="50" t="s">
        <v>1530</v>
      </c>
      <c r="B34" s="67">
        <v>0</v>
      </c>
      <c r="C34" s="67">
        <v>0</v>
      </c>
      <c r="D34" s="111" t="s">
        <v>1513</v>
      </c>
      <c r="E34" s="66"/>
      <c r="F34" s="66">
        <v>216</v>
      </c>
      <c r="G34" s="111">
        <f aca="true" t="shared" si="11" ref="G34:G40">E34/F34*100-100</f>
        <v>-100</v>
      </c>
      <c r="H34" s="66"/>
      <c r="I34" s="66"/>
      <c r="J34" s="111" t="s">
        <v>1513</v>
      </c>
      <c r="N34">
        <f t="shared" si="6"/>
        <v>0</v>
      </c>
      <c r="O34">
        <f t="shared" si="7"/>
        <v>0</v>
      </c>
      <c r="P34" s="113">
        <f t="shared" si="8"/>
        <v>0</v>
      </c>
      <c r="Q34" s="113">
        <f t="shared" si="9"/>
        <v>0</v>
      </c>
    </row>
    <row r="35" spans="1:17" ht="16.5" customHeight="1">
      <c r="A35" s="50" t="s">
        <v>1505</v>
      </c>
      <c r="B35" s="67">
        <v>0</v>
      </c>
      <c r="C35" s="67">
        <v>0</v>
      </c>
      <c r="D35" s="111" t="s">
        <v>1513</v>
      </c>
      <c r="E35" s="66"/>
      <c r="F35" s="66"/>
      <c r="G35" s="111" t="s">
        <v>1513</v>
      </c>
      <c r="H35" s="66"/>
      <c r="I35" s="66"/>
      <c r="J35" s="111" t="s">
        <v>1513</v>
      </c>
      <c r="N35">
        <f t="shared" si="6"/>
        <v>0</v>
      </c>
      <c r="O35">
        <f t="shared" si="7"/>
        <v>0</v>
      </c>
      <c r="P35" s="113">
        <f t="shared" si="8"/>
        <v>0</v>
      </c>
      <c r="Q35" s="113">
        <f t="shared" si="9"/>
        <v>0</v>
      </c>
    </row>
    <row r="36" spans="1:17" ht="16.5" customHeight="1">
      <c r="A36" s="50" t="s">
        <v>1507</v>
      </c>
      <c r="B36" s="67">
        <v>0</v>
      </c>
      <c r="C36" s="67">
        <v>0</v>
      </c>
      <c r="D36" s="111" t="s">
        <v>1513</v>
      </c>
      <c r="E36" s="66"/>
      <c r="F36" s="66">
        <v>216</v>
      </c>
      <c r="G36" s="111">
        <f t="shared" si="11"/>
        <v>-100</v>
      </c>
      <c r="H36" s="66"/>
      <c r="I36" s="66"/>
      <c r="J36" s="111" t="s">
        <v>1513</v>
      </c>
      <c r="N36">
        <f t="shared" si="6"/>
        <v>0</v>
      </c>
      <c r="O36">
        <f t="shared" si="7"/>
        <v>0</v>
      </c>
      <c r="P36" s="113">
        <f t="shared" si="8"/>
        <v>0</v>
      </c>
      <c r="Q36" s="113">
        <f t="shared" si="9"/>
        <v>0</v>
      </c>
    </row>
    <row r="37" spans="1:17" ht="16.5" customHeight="1">
      <c r="A37" s="50" t="s">
        <v>1509</v>
      </c>
      <c r="B37" s="67">
        <v>0</v>
      </c>
      <c r="C37" s="67">
        <v>0</v>
      </c>
      <c r="D37" s="111" t="s">
        <v>1513</v>
      </c>
      <c r="E37" s="66"/>
      <c r="F37" s="66"/>
      <c r="G37" s="111"/>
      <c r="H37" s="66"/>
      <c r="I37" s="66"/>
      <c r="J37" s="111" t="s">
        <v>1513</v>
      </c>
      <c r="N37">
        <f t="shared" si="6"/>
        <v>0</v>
      </c>
      <c r="O37">
        <f t="shared" si="7"/>
        <v>0</v>
      </c>
      <c r="P37" s="113">
        <f t="shared" si="8"/>
        <v>0</v>
      </c>
      <c r="Q37" s="113">
        <f t="shared" si="9"/>
        <v>0</v>
      </c>
    </row>
    <row r="38" spans="1:17" ht="16.5" customHeight="1">
      <c r="A38" s="68" t="s">
        <v>1531</v>
      </c>
      <c r="B38" s="67">
        <v>7509.0447</v>
      </c>
      <c r="C38" s="67">
        <v>5125.439495</v>
      </c>
      <c r="D38" s="111">
        <f aca="true" t="shared" si="12" ref="D38:D41">B38/C38*100-100</f>
        <v>46.50538177897272</v>
      </c>
      <c r="E38" s="66">
        <v>16768</v>
      </c>
      <c r="F38" s="66">
        <v>9791</v>
      </c>
      <c r="G38" s="111">
        <f t="shared" si="11"/>
        <v>71.25931978347461</v>
      </c>
      <c r="H38" s="66">
        <v>11253</v>
      </c>
      <c r="I38" s="66">
        <v>3841</v>
      </c>
      <c r="J38" s="111">
        <f aca="true" t="shared" si="13" ref="J38:J41">H38/I38*100-100</f>
        <v>192.9705805779745</v>
      </c>
      <c r="K38">
        <v>9500447</v>
      </c>
      <c r="L38">
        <v>5934394.95</v>
      </c>
      <c r="N38">
        <f t="shared" si="6"/>
        <v>950.0447</v>
      </c>
      <c r="O38">
        <f t="shared" si="7"/>
        <v>593.439495</v>
      </c>
      <c r="P38" s="113">
        <f t="shared" si="8"/>
        <v>8459.0894</v>
      </c>
      <c r="Q38" s="113">
        <f t="shared" si="9"/>
        <v>5718.878989999999</v>
      </c>
    </row>
    <row r="39" spans="1:17" ht="16.5" customHeight="1">
      <c r="A39" s="50" t="s">
        <v>1505</v>
      </c>
      <c r="B39" s="67">
        <v>874.496</v>
      </c>
      <c r="C39" s="67">
        <v>1439.3246</v>
      </c>
      <c r="D39" s="111">
        <f t="shared" si="12"/>
        <v>-39.2426142094702</v>
      </c>
      <c r="E39" s="66">
        <v>2821</v>
      </c>
      <c r="F39" s="66">
        <v>2677</v>
      </c>
      <c r="G39" s="111">
        <f t="shared" si="11"/>
        <v>5.379155771385882</v>
      </c>
      <c r="H39" s="66">
        <v>1745</v>
      </c>
      <c r="I39" s="66">
        <v>1456</v>
      </c>
      <c r="J39" s="111">
        <f t="shared" si="13"/>
        <v>19.848901098901095</v>
      </c>
      <c r="K39">
        <v>2154960</v>
      </c>
      <c r="L39">
        <v>3743246</v>
      </c>
      <c r="N39">
        <f t="shared" si="6"/>
        <v>215.496</v>
      </c>
      <c r="O39">
        <f t="shared" si="7"/>
        <v>374.3246</v>
      </c>
      <c r="P39" s="113">
        <f t="shared" si="8"/>
        <v>1089.992</v>
      </c>
      <c r="Q39" s="113">
        <f t="shared" si="9"/>
        <v>1813.6491999999998</v>
      </c>
    </row>
    <row r="40" spans="1:17" ht="16.5" customHeight="1">
      <c r="A40" s="50" t="s">
        <v>1507</v>
      </c>
      <c r="B40" s="67">
        <v>3572.285</v>
      </c>
      <c r="C40" s="67">
        <v>3645.34624</v>
      </c>
      <c r="D40" s="111">
        <f t="shared" si="12"/>
        <v>-2.004233211054313</v>
      </c>
      <c r="E40" s="66">
        <v>8638</v>
      </c>
      <c r="F40" s="66">
        <v>7034</v>
      </c>
      <c r="G40" s="111">
        <f t="shared" si="11"/>
        <v>22.803525732158093</v>
      </c>
      <c r="H40" s="66">
        <v>5297</v>
      </c>
      <c r="I40" s="66">
        <v>2331</v>
      </c>
      <c r="J40" s="111">
        <f t="shared" si="13"/>
        <v>127.24152724152725</v>
      </c>
      <c r="K40">
        <v>7322850</v>
      </c>
      <c r="L40">
        <v>2163462.4</v>
      </c>
      <c r="N40">
        <f t="shared" si="6"/>
        <v>732.285</v>
      </c>
      <c r="O40">
        <f t="shared" si="7"/>
        <v>216.34624</v>
      </c>
      <c r="P40" s="113">
        <f t="shared" si="8"/>
        <v>4304.57</v>
      </c>
      <c r="Q40" s="113">
        <f t="shared" si="9"/>
        <v>3861.6924799999997</v>
      </c>
    </row>
    <row r="41" spans="1:17" ht="16.5" customHeight="1">
      <c r="A41" s="50" t="s">
        <v>1509</v>
      </c>
      <c r="B41" s="67">
        <v>8.2637</v>
      </c>
      <c r="C41" s="67">
        <v>40.768655</v>
      </c>
      <c r="D41" s="111">
        <f t="shared" si="12"/>
        <v>-79.73026090755263</v>
      </c>
      <c r="E41" s="66">
        <v>170</v>
      </c>
      <c r="F41" s="66">
        <v>80</v>
      </c>
      <c r="G41" s="111"/>
      <c r="H41" s="66">
        <v>59</v>
      </c>
      <c r="I41" s="66">
        <v>54</v>
      </c>
      <c r="J41" s="111">
        <f t="shared" si="13"/>
        <v>9.259259259259252</v>
      </c>
      <c r="K41">
        <v>22637</v>
      </c>
      <c r="L41">
        <v>27686.55</v>
      </c>
      <c r="N41">
        <f t="shared" si="6"/>
        <v>2.2637</v>
      </c>
      <c r="O41">
        <f t="shared" si="7"/>
        <v>2.768655</v>
      </c>
      <c r="P41" s="113">
        <f t="shared" si="8"/>
        <v>10.5274</v>
      </c>
      <c r="Q41" s="113">
        <f t="shared" si="9"/>
        <v>43.537310000000005</v>
      </c>
    </row>
    <row r="42" spans="1:10" ht="14.25" customHeight="1">
      <c r="A42" s="23" t="s">
        <v>1532</v>
      </c>
      <c r="B42" s="23"/>
      <c r="C42" s="23"/>
      <c r="D42" s="23"/>
      <c r="E42" s="23"/>
      <c r="F42" s="23"/>
      <c r="G42" s="23"/>
      <c r="H42" s="24"/>
      <c r="I42" s="24"/>
      <c r="J42" s="24"/>
    </row>
  </sheetData>
  <sheetProtection/>
  <mergeCells count="6">
    <mergeCell ref="A2:J2"/>
    <mergeCell ref="B4:D4"/>
    <mergeCell ref="E4:G4"/>
    <mergeCell ref="H4:J4"/>
    <mergeCell ref="A42:J42"/>
    <mergeCell ref="A4:A5"/>
  </mergeCells>
  <printOptions horizontalCentered="1"/>
  <pageMargins left="0.43" right="0.43" top="0.51" bottom="1" header="0.31" footer="0.57"/>
  <pageSetup errors="blank" horizontalDpi="600" verticalDpi="600" orientation="landscape" paperSize="9"/>
  <headerFooter scaleWithDoc="0" alignWithMargins="0">
    <oddFooter>&amp;C—&amp;P+61—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T24"/>
  <sheetViews>
    <sheetView showZeros="0" workbookViewId="0" topLeftCell="A1">
      <selection activeCell="A2" sqref="A2:J2"/>
    </sheetView>
  </sheetViews>
  <sheetFormatPr defaultColWidth="9.00390625" defaultRowHeight="14.25" customHeight="1"/>
  <cols>
    <col min="1" max="1" width="28.75390625" style="103" customWidth="1"/>
    <col min="2" max="2" width="10.625" style="104" customWidth="1"/>
    <col min="3" max="3" width="10.00390625" style="105" customWidth="1"/>
    <col min="4" max="4" width="10.625" style="55" customWidth="1"/>
    <col min="5" max="5" width="10.625" style="21" customWidth="1"/>
    <col min="6" max="6" width="9.625" style="21" customWidth="1"/>
    <col min="7" max="7" width="10.625" style="55" customWidth="1"/>
    <col min="8" max="8" width="9.50390625" style="21" customWidth="1"/>
    <col min="9" max="9" width="10.625" style="21" customWidth="1"/>
    <col min="10" max="10" width="10.625" style="55" customWidth="1"/>
    <col min="11" max="11" width="12.625" style="0" hidden="1" customWidth="1"/>
    <col min="12" max="12" width="9.50390625" style="0" hidden="1" customWidth="1"/>
    <col min="13" max="20" width="9.00390625" style="0" hidden="1" customWidth="1"/>
  </cols>
  <sheetData>
    <row r="1" spans="1:2" ht="14.25" customHeight="1">
      <c r="A1" s="33" t="s">
        <v>1557</v>
      </c>
      <c r="B1" s="106"/>
    </row>
    <row r="2" spans="1:10" ht="24" customHeight="1">
      <c r="A2" s="9" t="s">
        <v>1558</v>
      </c>
      <c r="B2" s="9"/>
      <c r="C2" s="9"/>
      <c r="D2" s="9"/>
      <c r="E2" s="9"/>
      <c r="F2" s="9"/>
      <c r="G2" s="9"/>
      <c r="H2" s="9"/>
      <c r="I2" s="9"/>
      <c r="J2" s="9"/>
    </row>
    <row r="3" spans="1:10" ht="19.5" customHeight="1">
      <c r="A3" s="35"/>
      <c r="B3" s="36"/>
      <c r="C3" s="37"/>
      <c r="D3" s="38"/>
      <c r="E3" s="39"/>
      <c r="J3" s="109" t="s">
        <v>6</v>
      </c>
    </row>
    <row r="4" spans="1:11" ht="19.5" customHeight="1">
      <c r="A4" s="40" t="s">
        <v>1502</v>
      </c>
      <c r="B4" s="41" t="s">
        <v>87</v>
      </c>
      <c r="C4" s="42"/>
      <c r="D4" s="43"/>
      <c r="E4" s="59" t="s">
        <v>88</v>
      </c>
      <c r="F4" s="60"/>
      <c r="G4" s="61"/>
      <c r="H4" s="59" t="s">
        <v>89</v>
      </c>
      <c r="I4" s="60"/>
      <c r="J4" s="61"/>
      <c r="K4" t="s">
        <v>891</v>
      </c>
    </row>
    <row r="5" spans="1:14" ht="43.5" customHeight="1">
      <c r="A5" s="47"/>
      <c r="B5" s="100" t="s">
        <v>8</v>
      </c>
      <c r="C5" s="100" t="s">
        <v>9</v>
      </c>
      <c r="D5" s="107" t="s">
        <v>10</v>
      </c>
      <c r="E5" s="100" t="s">
        <v>8</v>
      </c>
      <c r="F5" s="100" t="s">
        <v>9</v>
      </c>
      <c r="G5" s="107" t="s">
        <v>10</v>
      </c>
      <c r="H5" s="100" t="s">
        <v>8</v>
      </c>
      <c r="I5" s="100" t="s">
        <v>9</v>
      </c>
      <c r="J5" s="107" t="s">
        <v>10</v>
      </c>
      <c r="K5" s="67" t="s">
        <v>8</v>
      </c>
      <c r="L5" s="67" t="s">
        <v>9</v>
      </c>
      <c r="M5" s="52" t="s">
        <v>1555</v>
      </c>
      <c r="N5" s="110" t="s">
        <v>1556</v>
      </c>
    </row>
    <row r="6" spans="1:20" ht="18" customHeight="1">
      <c r="A6" s="19" t="s">
        <v>1504</v>
      </c>
      <c r="B6" s="51">
        <v>25726.21088</v>
      </c>
      <c r="C6" s="51">
        <v>16006.369955</v>
      </c>
      <c r="D6" s="108">
        <f aca="true" t="shared" si="0" ref="D6:D9">B6/C6*100-100</f>
        <v>60.72482987914293</v>
      </c>
      <c r="E6" s="65">
        <v>50704</v>
      </c>
      <c r="F6" s="65">
        <v>40215</v>
      </c>
      <c r="G6" s="108">
        <f aca="true" t="shared" si="1" ref="G6:G9">E6/F6*100-100</f>
        <v>26.082307596667917</v>
      </c>
      <c r="H6" s="65">
        <v>30138</v>
      </c>
      <c r="I6" s="65">
        <v>21229</v>
      </c>
      <c r="J6" s="108">
        <f aca="true" t="shared" si="2" ref="J6:J9">H6/I6*100-100</f>
        <v>41.966178340948716</v>
      </c>
      <c r="K6">
        <v>14292108.8</v>
      </c>
      <c r="L6">
        <f>L8+L22</f>
        <v>12743699.55</v>
      </c>
      <c r="N6">
        <f>K6/10000</f>
        <v>1429.21088</v>
      </c>
      <c r="O6">
        <f>L6/10000</f>
        <v>1274.3699550000001</v>
      </c>
      <c r="P6" s="21">
        <f>B6+N6</f>
        <v>27155.421759999997</v>
      </c>
      <c r="Q6" s="21">
        <f>C6+O6</f>
        <v>17280.73991</v>
      </c>
      <c r="R6" s="21">
        <f>B6+E6+H6</f>
        <v>106568.21088</v>
      </c>
      <c r="S6" s="21">
        <f>C6+F6+I6</f>
        <v>77450.369955</v>
      </c>
      <c r="T6">
        <f>R6/S6*100-100</f>
        <v>37.595483329412076</v>
      </c>
    </row>
    <row r="7" spans="1:20" ht="18" customHeight="1">
      <c r="A7" s="22" t="s">
        <v>1506</v>
      </c>
      <c r="B7" s="51">
        <v>21934.14568</v>
      </c>
      <c r="C7" s="51">
        <v>12515.347155</v>
      </c>
      <c r="D7" s="108">
        <f t="shared" si="0"/>
        <v>75.25798851881711</v>
      </c>
      <c r="E7" s="65">
        <v>44153</v>
      </c>
      <c r="F7" s="65">
        <v>37047</v>
      </c>
      <c r="G7" s="108">
        <f t="shared" si="1"/>
        <v>19.181040300159253</v>
      </c>
      <c r="H7" s="65">
        <v>29366</v>
      </c>
      <c r="I7" s="65">
        <v>20842</v>
      </c>
      <c r="J7" s="108">
        <f t="shared" si="2"/>
        <v>40.898186354476536</v>
      </c>
      <c r="K7">
        <v>13821456.799999999</v>
      </c>
      <c r="L7">
        <f>L9+L23</f>
        <v>12493471.55</v>
      </c>
      <c r="N7">
        <f aca="true" t="shared" si="3" ref="N7:N23">K7/10000</f>
        <v>1382.1456799999999</v>
      </c>
      <c r="O7">
        <f aca="true" t="shared" si="4" ref="O7:O23">L7/10000</f>
        <v>1249.3471550000002</v>
      </c>
      <c r="P7" s="21">
        <f aca="true" t="shared" si="5" ref="P7:P23">B7+N7</f>
        <v>23316.291360000003</v>
      </c>
      <c r="Q7" s="21">
        <f aca="true" t="shared" si="6" ref="Q7:Q23">C7+O7</f>
        <v>13764.694309999999</v>
      </c>
      <c r="R7" s="21">
        <f>B7+E7+H7</f>
        <v>95453.14568</v>
      </c>
      <c r="S7" s="21">
        <f>C7+F7+I7</f>
        <v>70404.347155</v>
      </c>
      <c r="T7">
        <f>R7/S7*100-100</f>
        <v>35.578482774441966</v>
      </c>
    </row>
    <row r="8" spans="1:17" ht="18" customHeight="1">
      <c r="A8" s="22" t="s">
        <v>1508</v>
      </c>
      <c r="B8" s="65">
        <v>17788.025144</v>
      </c>
      <c r="C8" s="65">
        <v>12024.788005</v>
      </c>
      <c r="D8" s="108">
        <f t="shared" si="0"/>
        <v>47.927972922296846</v>
      </c>
      <c r="E8" s="65">
        <v>37337</v>
      </c>
      <c r="F8" s="65">
        <v>31207</v>
      </c>
      <c r="G8" s="108">
        <f t="shared" si="1"/>
        <v>19.64302880763931</v>
      </c>
      <c r="H8" s="65">
        <v>24325</v>
      </c>
      <c r="I8" s="65">
        <v>18619</v>
      </c>
      <c r="J8" s="108">
        <f t="shared" si="2"/>
        <v>30.64611418443525</v>
      </c>
      <c r="K8">
        <v>9830251.44</v>
      </c>
      <c r="L8">
        <v>9297880.05</v>
      </c>
      <c r="N8">
        <f t="shared" si="3"/>
        <v>983.025144</v>
      </c>
      <c r="O8">
        <f t="shared" si="4"/>
        <v>929.7880050000001</v>
      </c>
      <c r="P8" s="21">
        <f t="shared" si="5"/>
        <v>18771.050288</v>
      </c>
      <c r="Q8" s="21">
        <f t="shared" si="6"/>
        <v>12954.57601</v>
      </c>
    </row>
    <row r="9" spans="1:17" ht="18" customHeight="1">
      <c r="A9" s="22" t="s">
        <v>1510</v>
      </c>
      <c r="B9" s="65">
        <v>14767.025144</v>
      </c>
      <c r="C9" s="65">
        <v>9374.788005</v>
      </c>
      <c r="D9" s="108">
        <f t="shared" si="0"/>
        <v>57.51849680359783</v>
      </c>
      <c r="E9" s="65">
        <v>32370</v>
      </c>
      <c r="F9" s="65">
        <v>29303</v>
      </c>
      <c r="G9" s="108">
        <f t="shared" si="1"/>
        <v>10.466505135992904</v>
      </c>
      <c r="H9" s="65">
        <v>24037</v>
      </c>
      <c r="I9" s="65">
        <v>18415</v>
      </c>
      <c r="J9" s="108">
        <f t="shared" si="2"/>
        <v>30.529459679609005</v>
      </c>
      <c r="K9">
        <v>9830251.44</v>
      </c>
      <c r="L9">
        <v>9297880.05</v>
      </c>
      <c r="N9">
        <f t="shared" si="3"/>
        <v>983.025144</v>
      </c>
      <c r="O9">
        <f t="shared" si="4"/>
        <v>929.7880050000001</v>
      </c>
      <c r="P9" s="21">
        <f t="shared" si="5"/>
        <v>15750.050287999999</v>
      </c>
      <c r="Q9" s="21">
        <f t="shared" si="6"/>
        <v>10304.57601</v>
      </c>
    </row>
    <row r="10" spans="1:17" ht="18" customHeight="1">
      <c r="A10" s="22" t="s">
        <v>1512</v>
      </c>
      <c r="B10" s="65">
        <v>3456</v>
      </c>
      <c r="C10" s="65">
        <v>0</v>
      </c>
      <c r="D10" s="108" t="s">
        <v>1513</v>
      </c>
      <c r="E10" s="65">
        <v>2438</v>
      </c>
      <c r="F10" s="65"/>
      <c r="G10" s="108" t="s">
        <v>1513</v>
      </c>
      <c r="H10" s="65">
        <v>0</v>
      </c>
      <c r="I10" s="65"/>
      <c r="J10" s="108"/>
      <c r="N10">
        <f t="shared" si="3"/>
        <v>0</v>
      </c>
      <c r="O10">
        <f t="shared" si="4"/>
        <v>0</v>
      </c>
      <c r="P10" s="21">
        <f t="shared" si="5"/>
        <v>3456</v>
      </c>
      <c r="Q10" s="21">
        <f t="shared" si="6"/>
        <v>0</v>
      </c>
    </row>
    <row r="11" spans="1:17" ht="18" customHeight="1">
      <c r="A11" s="22" t="s">
        <v>1510</v>
      </c>
      <c r="B11" s="65">
        <v>3456</v>
      </c>
      <c r="C11" s="65">
        <v>0</v>
      </c>
      <c r="D11" s="108" t="s">
        <v>1513</v>
      </c>
      <c r="E11" s="65">
        <v>2438</v>
      </c>
      <c r="F11" s="65"/>
      <c r="G11" s="108" t="s">
        <v>1513</v>
      </c>
      <c r="H11" s="65">
        <v>0</v>
      </c>
      <c r="I11" s="65"/>
      <c r="J11" s="108"/>
      <c r="N11">
        <f t="shared" si="3"/>
        <v>0</v>
      </c>
      <c r="O11">
        <f t="shared" si="4"/>
        <v>0</v>
      </c>
      <c r="P11" s="21">
        <f t="shared" si="5"/>
        <v>3456</v>
      </c>
      <c r="Q11" s="21">
        <f t="shared" si="6"/>
        <v>0</v>
      </c>
    </row>
    <row r="12" spans="1:17" ht="18" customHeight="1">
      <c r="A12" s="22" t="s">
        <v>1514</v>
      </c>
      <c r="B12" s="65">
        <v>553</v>
      </c>
      <c r="C12" s="65">
        <v>767</v>
      </c>
      <c r="D12" s="108"/>
      <c r="E12" s="65">
        <v>811</v>
      </c>
      <c r="F12" s="65">
        <v>725</v>
      </c>
      <c r="G12" s="108"/>
      <c r="H12" s="65"/>
      <c r="I12" s="65"/>
      <c r="J12" s="108"/>
      <c r="N12">
        <f t="shared" si="3"/>
        <v>0</v>
      </c>
      <c r="O12">
        <f t="shared" si="4"/>
        <v>0</v>
      </c>
      <c r="P12" s="21">
        <f t="shared" si="5"/>
        <v>553</v>
      </c>
      <c r="Q12" s="21">
        <f t="shared" si="6"/>
        <v>767</v>
      </c>
    </row>
    <row r="13" spans="1:17" ht="18" customHeight="1">
      <c r="A13" s="22" t="s">
        <v>1515</v>
      </c>
      <c r="B13" s="65">
        <v>100</v>
      </c>
      <c r="C13" s="65">
        <v>119.875</v>
      </c>
      <c r="D13" s="108"/>
      <c r="E13" s="65">
        <v>233</v>
      </c>
      <c r="F13" s="65">
        <v>153.15</v>
      </c>
      <c r="G13" s="108"/>
      <c r="H13" s="65"/>
      <c r="I13" s="65"/>
      <c r="J13" s="108"/>
      <c r="N13">
        <f t="shared" si="3"/>
        <v>0</v>
      </c>
      <c r="O13">
        <f t="shared" si="4"/>
        <v>0</v>
      </c>
      <c r="P13" s="21">
        <f t="shared" si="5"/>
        <v>100</v>
      </c>
      <c r="Q13" s="21">
        <f t="shared" si="6"/>
        <v>119.875</v>
      </c>
    </row>
    <row r="14" spans="1:17" ht="18" customHeight="1">
      <c r="A14" s="22" t="s">
        <v>1516</v>
      </c>
      <c r="B14" s="65">
        <v>253</v>
      </c>
      <c r="C14" s="65">
        <v>0</v>
      </c>
      <c r="D14" s="108" t="s">
        <v>1513</v>
      </c>
      <c r="E14" s="65">
        <v>490</v>
      </c>
      <c r="F14" s="65">
        <v>218</v>
      </c>
      <c r="G14" s="108">
        <f aca="true" t="shared" si="7" ref="G14:G17">E14/F14*100-100</f>
        <v>124.77064220183487</v>
      </c>
      <c r="H14" s="65">
        <v>404</v>
      </c>
      <c r="I14" s="65">
        <v>12</v>
      </c>
      <c r="J14" s="108">
        <f>H14/I14*100-100</f>
        <v>3266.6666666666665</v>
      </c>
      <c r="N14">
        <f t="shared" si="3"/>
        <v>0</v>
      </c>
      <c r="O14">
        <f t="shared" si="4"/>
        <v>0</v>
      </c>
      <c r="P14" s="21">
        <f t="shared" si="5"/>
        <v>253</v>
      </c>
      <c r="Q14" s="21">
        <f t="shared" si="6"/>
        <v>0</v>
      </c>
    </row>
    <row r="15" spans="1:17" ht="18" customHeight="1">
      <c r="A15" s="22" t="s">
        <v>1517</v>
      </c>
      <c r="B15" s="65">
        <v>253</v>
      </c>
      <c r="C15" s="65">
        <v>0</v>
      </c>
      <c r="D15" s="108" t="s">
        <v>1513</v>
      </c>
      <c r="E15" s="65">
        <v>490</v>
      </c>
      <c r="F15" s="65"/>
      <c r="G15" s="108" t="s">
        <v>1513</v>
      </c>
      <c r="H15" s="65">
        <v>404</v>
      </c>
      <c r="I15" s="65">
        <v>12</v>
      </c>
      <c r="J15" s="108"/>
      <c r="N15">
        <f t="shared" si="3"/>
        <v>0</v>
      </c>
      <c r="O15">
        <f t="shared" si="4"/>
        <v>0</v>
      </c>
      <c r="P15" s="21">
        <f t="shared" si="5"/>
        <v>253</v>
      </c>
      <c r="Q15" s="21">
        <f t="shared" si="6"/>
        <v>0</v>
      </c>
    </row>
    <row r="16" spans="1:17" ht="18" customHeight="1">
      <c r="A16" s="22" t="s">
        <v>1518</v>
      </c>
      <c r="B16" s="65">
        <v>473</v>
      </c>
      <c r="C16" s="65">
        <v>225</v>
      </c>
      <c r="D16" s="108">
        <f>B16/C16*100-100</f>
        <v>110.22222222222223</v>
      </c>
      <c r="E16" s="65">
        <v>316</v>
      </c>
      <c r="F16" s="65">
        <v>629</v>
      </c>
      <c r="G16" s="108">
        <f t="shared" si="7"/>
        <v>-49.76152623211447</v>
      </c>
      <c r="H16" s="65">
        <v>1</v>
      </c>
      <c r="I16" s="65">
        <v>4</v>
      </c>
      <c r="J16" s="108"/>
      <c r="N16">
        <f t="shared" si="3"/>
        <v>0</v>
      </c>
      <c r="O16">
        <f t="shared" si="4"/>
        <v>0</v>
      </c>
      <c r="P16" s="21">
        <f t="shared" si="5"/>
        <v>473</v>
      </c>
      <c r="Q16" s="21">
        <f t="shared" si="6"/>
        <v>225</v>
      </c>
    </row>
    <row r="17" spans="1:17" ht="18" customHeight="1">
      <c r="A17" s="22" t="s">
        <v>1519</v>
      </c>
      <c r="B17" s="65">
        <v>453</v>
      </c>
      <c r="C17" s="65">
        <v>210</v>
      </c>
      <c r="D17" s="108">
        <f>B17/C17*100-100</f>
        <v>115.7142857142857</v>
      </c>
      <c r="E17" s="65">
        <v>286</v>
      </c>
      <c r="F17" s="65">
        <v>606</v>
      </c>
      <c r="G17" s="108">
        <f t="shared" si="7"/>
        <v>-52.805280528052805</v>
      </c>
      <c r="H17" s="65">
        <v>0</v>
      </c>
      <c r="I17" s="65">
        <v>3</v>
      </c>
      <c r="J17" s="108"/>
      <c r="N17">
        <f t="shared" si="3"/>
        <v>0</v>
      </c>
      <c r="O17">
        <f t="shared" si="4"/>
        <v>0</v>
      </c>
      <c r="P17" s="21">
        <f t="shared" si="5"/>
        <v>453</v>
      </c>
      <c r="Q17" s="21">
        <f t="shared" si="6"/>
        <v>210</v>
      </c>
    </row>
    <row r="18" spans="1:17" ht="18" customHeight="1">
      <c r="A18" s="22" t="s">
        <v>1521</v>
      </c>
      <c r="B18" s="65">
        <v>95</v>
      </c>
      <c r="C18" s="65">
        <v>57</v>
      </c>
      <c r="D18" s="108"/>
      <c r="E18" s="65">
        <v>331</v>
      </c>
      <c r="F18" s="65">
        <v>190</v>
      </c>
      <c r="G18" s="108"/>
      <c r="H18" s="65"/>
      <c r="I18" s="65"/>
      <c r="J18" s="108"/>
      <c r="N18">
        <f t="shared" si="3"/>
        <v>0</v>
      </c>
      <c r="O18">
        <f t="shared" si="4"/>
        <v>0</v>
      </c>
      <c r="P18" s="21">
        <f t="shared" si="5"/>
        <v>95</v>
      </c>
      <c r="Q18" s="21">
        <f t="shared" si="6"/>
        <v>57</v>
      </c>
    </row>
    <row r="19" spans="1:17" ht="18" customHeight="1">
      <c r="A19" s="22" t="s">
        <v>1522</v>
      </c>
      <c r="B19" s="65">
        <v>95</v>
      </c>
      <c r="C19" s="65">
        <v>57</v>
      </c>
      <c r="D19" s="108"/>
      <c r="E19" s="65">
        <v>331</v>
      </c>
      <c r="F19" s="65">
        <v>190</v>
      </c>
      <c r="G19" s="108"/>
      <c r="H19" s="65"/>
      <c r="I19" s="65"/>
      <c r="J19" s="108"/>
      <c r="N19">
        <f t="shared" si="3"/>
        <v>0</v>
      </c>
      <c r="O19">
        <f t="shared" si="4"/>
        <v>0</v>
      </c>
      <c r="P19" s="21">
        <f t="shared" si="5"/>
        <v>95</v>
      </c>
      <c r="Q19" s="21">
        <f t="shared" si="6"/>
        <v>57</v>
      </c>
    </row>
    <row r="20" spans="1:17" ht="18" customHeight="1">
      <c r="A20" s="22" t="s">
        <v>1523</v>
      </c>
      <c r="B20" s="65">
        <v>0</v>
      </c>
      <c r="C20" s="65">
        <v>0</v>
      </c>
      <c r="D20" s="108" t="s">
        <v>1513</v>
      </c>
      <c r="E20" s="65"/>
      <c r="F20" s="65">
        <v>216</v>
      </c>
      <c r="G20" s="108">
        <f aca="true" t="shared" si="8" ref="G20:G23">E20/F20*100-100</f>
        <v>-100</v>
      </c>
      <c r="H20" s="65"/>
      <c r="I20" s="65"/>
      <c r="J20" s="108" t="s">
        <v>1513</v>
      </c>
      <c r="N20">
        <f t="shared" si="3"/>
        <v>0</v>
      </c>
      <c r="O20">
        <f t="shared" si="4"/>
        <v>0</v>
      </c>
      <c r="P20" s="21">
        <f t="shared" si="5"/>
        <v>0</v>
      </c>
      <c r="Q20" s="21">
        <f t="shared" si="6"/>
        <v>0</v>
      </c>
    </row>
    <row r="21" spans="1:17" ht="18" customHeight="1">
      <c r="A21" s="22" t="s">
        <v>1524</v>
      </c>
      <c r="B21" s="65">
        <v>0</v>
      </c>
      <c r="C21" s="65">
        <v>0</v>
      </c>
      <c r="D21" s="108" t="s">
        <v>1513</v>
      </c>
      <c r="E21" s="65"/>
      <c r="F21" s="65">
        <v>216</v>
      </c>
      <c r="G21" s="108">
        <f t="shared" si="8"/>
        <v>-100</v>
      </c>
      <c r="H21" s="65"/>
      <c r="I21" s="65"/>
      <c r="J21" s="108" t="s">
        <v>1513</v>
      </c>
      <c r="N21">
        <f t="shared" si="3"/>
        <v>0</v>
      </c>
      <c r="O21">
        <f t="shared" si="4"/>
        <v>0</v>
      </c>
      <c r="P21" s="21">
        <f t="shared" si="5"/>
        <v>0</v>
      </c>
      <c r="Q21" s="21">
        <f t="shared" si="6"/>
        <v>0</v>
      </c>
    </row>
    <row r="22" spans="1:17" ht="18" customHeight="1">
      <c r="A22" s="22" t="s">
        <v>1526</v>
      </c>
      <c r="B22" s="65">
        <v>3108.185736</v>
      </c>
      <c r="C22" s="65">
        <v>2932.58195</v>
      </c>
      <c r="D22" s="108">
        <f>B22/C22*100-100</f>
        <v>5.988026557962002</v>
      </c>
      <c r="E22" s="65">
        <v>8981</v>
      </c>
      <c r="F22" s="65">
        <v>7030</v>
      </c>
      <c r="G22" s="108">
        <f t="shared" si="8"/>
        <v>27.752489331436706</v>
      </c>
      <c r="H22" s="65">
        <v>5408</v>
      </c>
      <c r="I22" s="65">
        <v>2594</v>
      </c>
      <c r="J22" s="108">
        <f>H22/I22*100-100</f>
        <v>108.48111025443333</v>
      </c>
      <c r="K22">
        <v>4461857.36</v>
      </c>
      <c r="L22">
        <v>3445819.5</v>
      </c>
      <c r="N22">
        <f t="shared" si="3"/>
        <v>446.185736</v>
      </c>
      <c r="O22">
        <f t="shared" si="4"/>
        <v>344.58195</v>
      </c>
      <c r="P22" s="21">
        <f t="shared" si="5"/>
        <v>3554.371472</v>
      </c>
      <c r="Q22" s="21">
        <f t="shared" si="6"/>
        <v>3277.1638999999996</v>
      </c>
    </row>
    <row r="23" spans="1:17" ht="18" customHeight="1">
      <c r="A23" s="22" t="s">
        <v>1527</v>
      </c>
      <c r="B23" s="65">
        <v>2810.120536</v>
      </c>
      <c r="C23" s="65">
        <v>2753.55915</v>
      </c>
      <c r="D23" s="108">
        <f>B23/C23*100-100</f>
        <v>2.0541191570190023</v>
      </c>
      <c r="E23" s="65">
        <v>8005</v>
      </c>
      <c r="F23" s="65">
        <v>6579</v>
      </c>
      <c r="G23" s="108">
        <f t="shared" si="8"/>
        <v>21.675026599787202</v>
      </c>
      <c r="H23" s="65">
        <v>4925</v>
      </c>
      <c r="I23" s="65">
        <v>2412</v>
      </c>
      <c r="J23" s="108">
        <f>H23/I23*100-100</f>
        <v>104.18739635157544</v>
      </c>
      <c r="K23">
        <v>3991205.36</v>
      </c>
      <c r="L23">
        <v>3195591.5</v>
      </c>
      <c r="N23">
        <f t="shared" si="3"/>
        <v>399.12053599999996</v>
      </c>
      <c r="O23">
        <f t="shared" si="4"/>
        <v>319.55915</v>
      </c>
      <c r="P23" s="21">
        <f t="shared" si="5"/>
        <v>3209.241072</v>
      </c>
      <c r="Q23" s="21">
        <f t="shared" si="6"/>
        <v>3073.1183</v>
      </c>
    </row>
    <row r="24" spans="1:10" ht="14.25" customHeight="1">
      <c r="A24" s="23" t="s">
        <v>1532</v>
      </c>
      <c r="B24" s="23"/>
      <c r="C24" s="23"/>
      <c r="D24" s="23"/>
      <c r="E24" s="23"/>
      <c r="F24" s="23"/>
      <c r="G24" s="23"/>
      <c r="H24" s="24"/>
      <c r="I24" s="24"/>
      <c r="J24" s="24"/>
    </row>
  </sheetData>
  <sheetProtection/>
  <mergeCells count="6">
    <mergeCell ref="A2:J2"/>
    <mergeCell ref="B4:D4"/>
    <mergeCell ref="E4:G4"/>
    <mergeCell ref="H4:J4"/>
    <mergeCell ref="A24:J24"/>
    <mergeCell ref="A4:A5"/>
  </mergeCells>
  <printOptions horizontalCentered="1"/>
  <pageMargins left="0.47" right="0.47" top="0.55" bottom="0.78" header="0.51" footer="0.55"/>
  <pageSetup errors="blank" horizontalDpi="600" verticalDpi="600" orientation="landscape" paperSize="9"/>
  <headerFooter scaleWithDoc="0" alignWithMargins="0">
    <oddFooter>&amp;C—&amp;P+63—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dimension ref="A1:M24"/>
  <sheetViews>
    <sheetView showZeros="0" workbookViewId="0" topLeftCell="A1">
      <selection activeCell="A2" sqref="A2:G2"/>
    </sheetView>
  </sheetViews>
  <sheetFormatPr defaultColWidth="9.00390625" defaultRowHeight="14.25" customHeight="1"/>
  <cols>
    <col min="1" max="1" width="38.75390625" style="0" customWidth="1"/>
    <col min="2" max="7" width="13.625" style="6" customWidth="1"/>
    <col min="8" max="8" width="9.00390625" style="0" hidden="1" customWidth="1"/>
    <col min="9" max="9" width="9.50390625" style="0" hidden="1" customWidth="1"/>
    <col min="10" max="13" width="9.00390625" style="0" hidden="1" customWidth="1"/>
  </cols>
  <sheetData>
    <row r="1" spans="1:2" ht="14.25" customHeight="1">
      <c r="A1" s="33" t="s">
        <v>1559</v>
      </c>
      <c r="B1" s="8"/>
    </row>
    <row r="2" spans="1:7" ht="22.5" customHeight="1">
      <c r="A2" s="9" t="s">
        <v>1560</v>
      </c>
      <c r="B2" s="9"/>
      <c r="C2" s="9"/>
      <c r="D2" s="9"/>
      <c r="E2" s="9"/>
      <c r="F2" s="9"/>
      <c r="G2" s="9"/>
    </row>
    <row r="3" spans="1:7" ht="18.75" customHeight="1">
      <c r="A3" s="10"/>
      <c r="B3" s="11"/>
      <c r="C3" s="11"/>
      <c r="D3" s="11"/>
      <c r="G3" s="99" t="s">
        <v>6</v>
      </c>
    </row>
    <row r="4" spans="1:8" ht="18.75" customHeight="1">
      <c r="A4" s="13" t="s">
        <v>1502</v>
      </c>
      <c r="B4" s="14" t="s">
        <v>87</v>
      </c>
      <c r="C4" s="15"/>
      <c r="D4" s="16" t="s">
        <v>88</v>
      </c>
      <c r="E4" s="17"/>
      <c r="F4" s="16" t="s">
        <v>89</v>
      </c>
      <c r="G4" s="17"/>
      <c r="H4" t="s">
        <v>891</v>
      </c>
    </row>
    <row r="5" spans="1:10" ht="30" customHeight="1">
      <c r="A5" s="13"/>
      <c r="B5" s="100" t="s">
        <v>8</v>
      </c>
      <c r="C5" s="18" t="s">
        <v>9</v>
      </c>
      <c r="D5" s="100" t="s">
        <v>8</v>
      </c>
      <c r="E5" s="18" t="s">
        <v>9</v>
      </c>
      <c r="F5" s="100" t="s">
        <v>8</v>
      </c>
      <c r="G5" s="18" t="s">
        <v>9</v>
      </c>
      <c r="H5" s="101" t="s">
        <v>1561</v>
      </c>
      <c r="I5" s="102" t="s">
        <v>1562</v>
      </c>
      <c r="J5" s="101" t="s">
        <v>1556</v>
      </c>
    </row>
    <row r="6" spans="1:13" ht="18" customHeight="1">
      <c r="A6" s="22" t="s">
        <v>1535</v>
      </c>
      <c r="B6" s="18">
        <v>19841.185907</v>
      </c>
      <c r="C6" s="18">
        <v>64496.805949</v>
      </c>
      <c r="D6" s="20">
        <v>50507</v>
      </c>
      <c r="E6" s="20">
        <v>14726</v>
      </c>
      <c r="F6" s="20">
        <v>5394</v>
      </c>
      <c r="G6" s="20">
        <v>984</v>
      </c>
      <c r="H6">
        <v>-2998140.93</v>
      </c>
      <c r="I6">
        <f>I8+I22</f>
        <v>65188059.489999995</v>
      </c>
      <c r="J6">
        <f>H6/10000</f>
        <v>-299.814093</v>
      </c>
      <c r="K6">
        <f>I6/10000</f>
        <v>6518.805949</v>
      </c>
      <c r="L6" s="6">
        <v>19841.185907</v>
      </c>
      <c r="M6" s="6">
        <v>64496.805949</v>
      </c>
    </row>
    <row r="7" spans="1:13" ht="18" customHeight="1">
      <c r="A7" s="22" t="s">
        <v>1536</v>
      </c>
      <c r="B7" s="18">
        <v>146975.009237</v>
      </c>
      <c r="C7" s="18">
        <v>130155.093247</v>
      </c>
      <c r="D7" s="20">
        <v>134103</v>
      </c>
      <c r="E7" s="20">
        <v>88735</v>
      </c>
      <c r="F7" s="20">
        <v>129833</v>
      </c>
      <c r="G7" s="20">
        <v>128590</v>
      </c>
      <c r="H7">
        <v>68490092.37</v>
      </c>
      <c r="I7">
        <f>I9+I23</f>
        <v>71160932.47</v>
      </c>
      <c r="J7">
        <f aca="true" t="shared" si="0" ref="J7:J23">H7/10000</f>
        <v>6849.009237</v>
      </c>
      <c r="K7">
        <f aca="true" t="shared" si="1" ref="K7:K23">I7/10000</f>
        <v>7116.093247</v>
      </c>
      <c r="L7" s="6">
        <v>146975.009237</v>
      </c>
      <c r="M7" s="6">
        <v>130155.093247</v>
      </c>
    </row>
    <row r="8" spans="1:13" ht="18" customHeight="1">
      <c r="A8" s="22" t="s">
        <v>1537</v>
      </c>
      <c r="B8" s="18">
        <v>13577.326943</v>
      </c>
      <c r="C8" s="18">
        <v>61673.059504</v>
      </c>
      <c r="D8" s="20">
        <v>41228</v>
      </c>
      <c r="E8" s="20">
        <v>11174</v>
      </c>
      <c r="F8" s="20">
        <v>-3391</v>
      </c>
      <c r="G8" s="20">
        <v>-535</v>
      </c>
      <c r="H8">
        <v>-8036730.57</v>
      </c>
      <c r="I8">
        <v>62780595.03999999</v>
      </c>
      <c r="J8">
        <f t="shared" si="0"/>
        <v>-803.6730570000001</v>
      </c>
      <c r="K8">
        <f t="shared" si="1"/>
        <v>6278.059503999999</v>
      </c>
      <c r="L8" s="6">
        <v>13577.326943</v>
      </c>
      <c r="M8" s="6">
        <v>61673.059504</v>
      </c>
    </row>
    <row r="9" spans="1:13" ht="18" customHeight="1">
      <c r="A9" s="22" t="s">
        <v>1538</v>
      </c>
      <c r="B9" s="18">
        <v>134709.795234</v>
      </c>
      <c r="C9" s="18">
        <v>121247.059504</v>
      </c>
      <c r="D9" s="20">
        <v>118252</v>
      </c>
      <c r="E9" s="20">
        <v>77025</v>
      </c>
      <c r="F9" s="20">
        <v>120707</v>
      </c>
      <c r="G9" s="20">
        <v>124097</v>
      </c>
      <c r="H9">
        <v>53597952.34</v>
      </c>
      <c r="I9">
        <v>62780595.03999999</v>
      </c>
      <c r="J9">
        <f t="shared" si="0"/>
        <v>5359.795234</v>
      </c>
      <c r="K9">
        <f t="shared" si="1"/>
        <v>6278.059503999999</v>
      </c>
      <c r="L9" s="6">
        <v>134709.795234</v>
      </c>
      <c r="M9" s="6">
        <v>121247.059504</v>
      </c>
    </row>
    <row r="10" spans="1:13" ht="18" customHeight="1">
      <c r="A10" s="22" t="s">
        <v>1539</v>
      </c>
      <c r="B10" s="18">
        <v>1121</v>
      </c>
      <c r="C10" s="18">
        <v>0</v>
      </c>
      <c r="D10" s="20">
        <v>662</v>
      </c>
      <c r="E10" s="20"/>
      <c r="F10" s="20">
        <v>2500</v>
      </c>
      <c r="G10" s="20"/>
      <c r="J10">
        <f t="shared" si="0"/>
        <v>0</v>
      </c>
      <c r="K10">
        <f t="shared" si="1"/>
        <v>0</v>
      </c>
      <c r="L10" s="6">
        <v>1121</v>
      </c>
      <c r="M10" s="6">
        <v>0</v>
      </c>
    </row>
    <row r="11" spans="1:13" ht="18" customHeight="1">
      <c r="A11" s="22" t="s">
        <v>1540</v>
      </c>
      <c r="B11" s="18">
        <v>1121</v>
      </c>
      <c r="C11" s="18">
        <v>0</v>
      </c>
      <c r="D11" s="20">
        <v>662</v>
      </c>
      <c r="E11" s="20"/>
      <c r="F11" s="20">
        <v>2500</v>
      </c>
      <c r="G11" s="20"/>
      <c r="J11">
        <f t="shared" si="0"/>
        <v>0</v>
      </c>
      <c r="K11">
        <f t="shared" si="1"/>
        <v>0</v>
      </c>
      <c r="L11" s="6">
        <v>1121</v>
      </c>
      <c r="M11" s="6">
        <v>0</v>
      </c>
    </row>
    <row r="12" spans="1:13" ht="18" customHeight="1">
      <c r="A12" s="22" t="s">
        <v>1541</v>
      </c>
      <c r="B12" s="18">
        <v>-208</v>
      </c>
      <c r="C12" s="18">
        <v>152</v>
      </c>
      <c r="D12" s="20">
        <v>-98</v>
      </c>
      <c r="E12" s="20">
        <v>405</v>
      </c>
      <c r="F12" s="20"/>
      <c r="G12" s="20"/>
      <c r="J12">
        <f t="shared" si="0"/>
        <v>0</v>
      </c>
      <c r="K12">
        <f t="shared" si="1"/>
        <v>0</v>
      </c>
      <c r="L12" s="6">
        <v>-208</v>
      </c>
      <c r="M12" s="6">
        <v>152</v>
      </c>
    </row>
    <row r="13" spans="1:13" ht="18" customHeight="1">
      <c r="A13" s="22" t="s">
        <v>1542</v>
      </c>
      <c r="B13" s="18">
        <v>3039</v>
      </c>
      <c r="C13" s="18">
        <v>3247</v>
      </c>
      <c r="D13" s="20">
        <v>4101</v>
      </c>
      <c r="E13" s="20">
        <v>4199</v>
      </c>
      <c r="F13" s="20"/>
      <c r="G13" s="20"/>
      <c r="J13">
        <f t="shared" si="0"/>
        <v>0</v>
      </c>
      <c r="K13">
        <f t="shared" si="1"/>
        <v>0</v>
      </c>
      <c r="L13" s="6">
        <v>3039</v>
      </c>
      <c r="M13" s="6">
        <v>3247</v>
      </c>
    </row>
    <row r="14" spans="1:13" ht="18" customHeight="1">
      <c r="A14" s="22" t="s">
        <v>1543</v>
      </c>
      <c r="B14" s="18">
        <v>289</v>
      </c>
      <c r="C14" s="18">
        <v>0</v>
      </c>
      <c r="D14" s="20">
        <v>412</v>
      </c>
      <c r="E14" s="20"/>
      <c r="F14" s="20">
        <v>406</v>
      </c>
      <c r="G14" s="20">
        <v>241</v>
      </c>
      <c r="J14">
        <f t="shared" si="0"/>
        <v>0</v>
      </c>
      <c r="K14">
        <f t="shared" si="1"/>
        <v>0</v>
      </c>
      <c r="L14" s="6">
        <v>289</v>
      </c>
      <c r="M14" s="6">
        <v>0</v>
      </c>
    </row>
    <row r="15" spans="1:13" ht="18" customHeight="1">
      <c r="A15" s="22" t="s">
        <v>1544</v>
      </c>
      <c r="B15" s="18">
        <v>289</v>
      </c>
      <c r="C15" s="18">
        <v>0</v>
      </c>
      <c r="D15" s="20">
        <v>412</v>
      </c>
      <c r="E15" s="20"/>
      <c r="F15" s="20">
        <v>647</v>
      </c>
      <c r="G15" s="20">
        <v>241</v>
      </c>
      <c r="J15">
        <f t="shared" si="0"/>
        <v>0</v>
      </c>
      <c r="K15">
        <f t="shared" si="1"/>
        <v>0</v>
      </c>
      <c r="L15" s="6">
        <v>289</v>
      </c>
      <c r="M15" s="6">
        <v>0</v>
      </c>
    </row>
    <row r="16" spans="1:13" ht="18" customHeight="1">
      <c r="A16" s="22" t="s">
        <v>1545</v>
      </c>
      <c r="B16" s="18">
        <v>680</v>
      </c>
      <c r="C16" s="18">
        <v>302</v>
      </c>
      <c r="D16" s="20">
        <v>674</v>
      </c>
      <c r="E16" s="20">
        <v>294</v>
      </c>
      <c r="F16" s="20">
        <v>34</v>
      </c>
      <c r="G16" s="20">
        <v>31</v>
      </c>
      <c r="J16">
        <f t="shared" si="0"/>
        <v>0</v>
      </c>
      <c r="K16">
        <f t="shared" si="1"/>
        <v>0</v>
      </c>
      <c r="L16" s="6">
        <v>680</v>
      </c>
      <c r="M16" s="6">
        <v>302</v>
      </c>
    </row>
    <row r="17" spans="1:13" ht="18" customHeight="1">
      <c r="A17" s="22" t="s">
        <v>1546</v>
      </c>
      <c r="B17" s="18">
        <v>2079</v>
      </c>
      <c r="C17" s="18">
        <v>1399</v>
      </c>
      <c r="D17" s="20">
        <v>2730</v>
      </c>
      <c r="E17" s="20">
        <v>2056</v>
      </c>
      <c r="F17" s="20">
        <v>134</v>
      </c>
      <c r="G17" s="20">
        <v>100</v>
      </c>
      <c r="J17">
        <f t="shared" si="0"/>
        <v>0</v>
      </c>
      <c r="K17">
        <f t="shared" si="1"/>
        <v>0</v>
      </c>
      <c r="L17" s="6">
        <v>2079</v>
      </c>
      <c r="M17" s="6">
        <v>1399</v>
      </c>
    </row>
    <row r="18" spans="1:13" ht="18" customHeight="1">
      <c r="A18" s="22" t="s">
        <v>1547</v>
      </c>
      <c r="B18" s="18">
        <v>-19</v>
      </c>
      <c r="C18" s="18">
        <v>185</v>
      </c>
      <c r="D18" s="20">
        <v>-159</v>
      </c>
      <c r="E18" s="20">
        <v>92</v>
      </c>
      <c r="F18" s="20"/>
      <c r="G18" s="20"/>
      <c r="J18">
        <f t="shared" si="0"/>
        <v>0</v>
      </c>
      <c r="K18">
        <f t="shared" si="1"/>
        <v>0</v>
      </c>
      <c r="L18" s="6">
        <v>-19</v>
      </c>
      <c r="M18" s="6">
        <v>185</v>
      </c>
    </row>
    <row r="19" spans="1:13" ht="18" customHeight="1">
      <c r="A19" s="22" t="s">
        <v>1548</v>
      </c>
      <c r="B19" s="18">
        <v>351</v>
      </c>
      <c r="C19" s="18">
        <v>370</v>
      </c>
      <c r="D19" s="20">
        <v>158</v>
      </c>
      <c r="E19" s="20">
        <v>316</v>
      </c>
      <c r="F19" s="20"/>
      <c r="G19" s="20"/>
      <c r="J19">
        <f t="shared" si="0"/>
        <v>0</v>
      </c>
      <c r="K19">
        <f t="shared" si="1"/>
        <v>0</v>
      </c>
      <c r="L19" s="6">
        <v>351</v>
      </c>
      <c r="M19" s="6">
        <v>370</v>
      </c>
    </row>
    <row r="20" spans="1:13" ht="18" customHeight="1">
      <c r="A20" s="22" t="s">
        <v>1549</v>
      </c>
      <c r="B20" s="18">
        <v>0</v>
      </c>
      <c r="C20" s="18">
        <v>0</v>
      </c>
      <c r="D20" s="20"/>
      <c r="E20" s="20"/>
      <c r="F20" s="20"/>
      <c r="G20" s="20"/>
      <c r="J20">
        <f t="shared" si="0"/>
        <v>0</v>
      </c>
      <c r="K20">
        <f t="shared" si="1"/>
        <v>0</v>
      </c>
      <c r="L20" s="6">
        <v>0</v>
      </c>
      <c r="M20" s="6">
        <v>0</v>
      </c>
    </row>
    <row r="21" spans="1:13" ht="18" customHeight="1">
      <c r="A21" s="22" t="s">
        <v>1550</v>
      </c>
      <c r="B21" s="18">
        <v>0</v>
      </c>
      <c r="C21" s="18">
        <v>0</v>
      </c>
      <c r="D21" s="20"/>
      <c r="E21" s="20"/>
      <c r="F21" s="20"/>
      <c r="G21" s="20"/>
      <c r="J21">
        <f t="shared" si="0"/>
        <v>0</v>
      </c>
      <c r="K21">
        <f t="shared" si="1"/>
        <v>0</v>
      </c>
      <c r="L21" s="6">
        <v>0</v>
      </c>
      <c r="M21" s="6">
        <v>0</v>
      </c>
    </row>
    <row r="22" spans="1:13" ht="18" customHeight="1">
      <c r="A22" s="22" t="s">
        <v>1551</v>
      </c>
      <c r="B22" s="18">
        <v>4400.858964</v>
      </c>
      <c r="C22" s="18">
        <v>2184.746445</v>
      </c>
      <c r="D22" s="20">
        <v>7788</v>
      </c>
      <c r="E22" s="20">
        <v>2761</v>
      </c>
      <c r="F22" s="20">
        <v>5845</v>
      </c>
      <c r="G22" s="20">
        <v>1247</v>
      </c>
      <c r="H22">
        <v>5038589.64</v>
      </c>
      <c r="I22">
        <v>2407464.45</v>
      </c>
      <c r="J22">
        <f t="shared" si="0"/>
        <v>503.85896399999996</v>
      </c>
      <c r="K22">
        <f t="shared" si="1"/>
        <v>240.74644500000002</v>
      </c>
      <c r="L22" s="6">
        <v>4400.858964</v>
      </c>
      <c r="M22" s="6">
        <v>2184.746445</v>
      </c>
    </row>
    <row r="23" spans="1:13" ht="18" customHeight="1">
      <c r="A23" s="22" t="s">
        <v>1552</v>
      </c>
      <c r="B23" s="18">
        <v>5386.214003</v>
      </c>
      <c r="C23" s="18">
        <v>3892.033743</v>
      </c>
      <c r="D23" s="20">
        <v>7788</v>
      </c>
      <c r="E23" s="20">
        <v>5139</v>
      </c>
      <c r="F23" s="20">
        <v>5845</v>
      </c>
      <c r="G23" s="20">
        <v>4152</v>
      </c>
      <c r="H23">
        <v>14892140.03</v>
      </c>
      <c r="I23">
        <v>8380337.43</v>
      </c>
      <c r="J23">
        <f t="shared" si="0"/>
        <v>1489.2140029999998</v>
      </c>
      <c r="K23">
        <f t="shared" si="1"/>
        <v>838.033743</v>
      </c>
      <c r="L23" s="6">
        <v>5386.214003</v>
      </c>
      <c r="M23" s="6">
        <v>3892.033743</v>
      </c>
    </row>
    <row r="24" spans="1:10" ht="14.25" customHeight="1">
      <c r="A24" s="23" t="s">
        <v>1532</v>
      </c>
      <c r="B24" s="23"/>
      <c r="C24" s="23"/>
      <c r="D24" s="23"/>
      <c r="E24" s="23"/>
      <c r="F24" s="23"/>
      <c r="G24" s="23"/>
      <c r="H24" s="24"/>
      <c r="I24" s="24"/>
      <c r="J24" s="24"/>
    </row>
  </sheetData>
  <sheetProtection/>
  <mergeCells count="6">
    <mergeCell ref="A2:G2"/>
    <mergeCell ref="B4:C4"/>
    <mergeCell ref="D4:E4"/>
    <mergeCell ref="F4:G4"/>
    <mergeCell ref="A24:J24"/>
    <mergeCell ref="A4:A5"/>
  </mergeCells>
  <printOptions horizontalCentered="1"/>
  <pageMargins left="0.59" right="0.55" top="0.67" bottom="0.82" header="0.51" footer="0.6"/>
  <pageSetup errors="blank" horizontalDpi="600" verticalDpi="600" orientation="landscape" paperSize="9"/>
  <headerFooter scaleWithDoc="0" alignWithMargins="0">
    <oddFooter>&amp;C—&amp;P+64—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indexed="14"/>
  </sheetPr>
  <dimension ref="A1:K41"/>
  <sheetViews>
    <sheetView showZeros="0" zoomScaleSheetLayoutView="100" workbookViewId="0" topLeftCell="A1">
      <selection activeCell="E48" sqref="E48"/>
    </sheetView>
  </sheetViews>
  <sheetFormatPr defaultColWidth="9.00390625" defaultRowHeight="14.25"/>
  <cols>
    <col min="1" max="1" width="34.375" style="69" customWidth="1"/>
    <col min="2" max="3" width="7.125" style="77" customWidth="1"/>
    <col min="4" max="4" width="8.25390625" style="69" customWidth="1"/>
    <col min="5" max="5" width="37.625" style="69" customWidth="1"/>
    <col min="6" max="6" width="8.00390625" style="77" customWidth="1"/>
    <col min="7" max="7" width="8.00390625" style="78" customWidth="1"/>
    <col min="8" max="8" width="8.625" style="69" customWidth="1"/>
    <col min="9" max="9" width="2.00390625" style="69" customWidth="1"/>
    <col min="10" max="10" width="29.875" style="79" bestFit="1" customWidth="1"/>
    <col min="11" max="16384" width="9.00390625" style="69" customWidth="1"/>
  </cols>
  <sheetData>
    <row r="1" ht="14.25">
      <c r="A1" s="70" t="s">
        <v>1563</v>
      </c>
    </row>
    <row r="2" spans="1:11" ht="21" customHeight="1">
      <c r="A2" s="72" t="s">
        <v>1564</v>
      </c>
      <c r="B2" s="72"/>
      <c r="C2" s="72"/>
      <c r="D2" s="72"/>
      <c r="E2" s="72"/>
      <c r="F2" s="80"/>
      <c r="G2" s="80"/>
      <c r="H2" s="72"/>
      <c r="J2" s="95" t="s">
        <v>1513</v>
      </c>
      <c r="K2" s="96" t="s">
        <v>1513</v>
      </c>
    </row>
    <row r="3" spans="1:8" ht="12" customHeight="1">
      <c r="A3" s="73"/>
      <c r="D3" s="81"/>
      <c r="G3" s="82" t="s">
        <v>6</v>
      </c>
      <c r="H3" s="82"/>
    </row>
    <row r="4" spans="1:8" ht="27" customHeight="1">
      <c r="A4" s="63" t="s">
        <v>1500</v>
      </c>
      <c r="B4" s="62" t="s">
        <v>93</v>
      </c>
      <c r="C4" s="62" t="s">
        <v>8</v>
      </c>
      <c r="D4" s="63" t="s">
        <v>1565</v>
      </c>
      <c r="E4" s="83" t="s">
        <v>1502</v>
      </c>
      <c r="F4" s="62" t="s">
        <v>93</v>
      </c>
      <c r="G4" s="62" t="s">
        <v>118</v>
      </c>
      <c r="H4" s="63" t="s">
        <v>1565</v>
      </c>
    </row>
    <row r="5" spans="1:8" ht="16.5" customHeight="1">
      <c r="A5" s="84" t="s">
        <v>1503</v>
      </c>
      <c r="B5" s="85">
        <v>1158013</v>
      </c>
      <c r="C5" s="85">
        <v>1185717</v>
      </c>
      <c r="D5" s="86">
        <f aca="true" t="shared" si="0" ref="D5:D18">B5/C5*100-100</f>
        <v>-2.336476579150002</v>
      </c>
      <c r="E5" s="84" t="s">
        <v>1504</v>
      </c>
      <c r="F5" s="87">
        <v>1227966</v>
      </c>
      <c r="G5" s="87">
        <v>1195854</v>
      </c>
      <c r="H5" s="88">
        <f aca="true" t="shared" si="1" ref="H5:H18">F5/G5*100-100</f>
        <v>2.685277634226253</v>
      </c>
    </row>
    <row r="6" spans="1:8" ht="16.5" customHeight="1">
      <c r="A6" s="84" t="s">
        <v>1505</v>
      </c>
      <c r="B6" s="85">
        <v>857546</v>
      </c>
      <c r="C6" s="85">
        <v>793240</v>
      </c>
      <c r="D6" s="86">
        <f t="shared" si="0"/>
        <v>8.106752054863591</v>
      </c>
      <c r="E6" s="84" t="s">
        <v>1506</v>
      </c>
      <c r="F6" s="87">
        <v>1155457</v>
      </c>
      <c r="G6" s="87">
        <v>1124174</v>
      </c>
      <c r="H6" s="88">
        <f t="shared" si="1"/>
        <v>2.782754271135971</v>
      </c>
    </row>
    <row r="7" spans="1:8" ht="16.5" customHeight="1">
      <c r="A7" s="84" t="s">
        <v>1507</v>
      </c>
      <c r="B7" s="85">
        <v>263392</v>
      </c>
      <c r="C7" s="85">
        <v>247788</v>
      </c>
      <c r="D7" s="86">
        <f t="shared" si="0"/>
        <v>6.2973186756420745</v>
      </c>
      <c r="E7" s="84" t="s">
        <v>1508</v>
      </c>
      <c r="F7" s="87">
        <v>868525</v>
      </c>
      <c r="G7" s="89">
        <v>831975</v>
      </c>
      <c r="H7" s="88">
        <f t="shared" si="1"/>
        <v>4.393160852189055</v>
      </c>
    </row>
    <row r="8" spans="1:8" ht="16.5" customHeight="1">
      <c r="A8" s="84" t="s">
        <v>1509</v>
      </c>
      <c r="B8" s="85">
        <v>15581</v>
      </c>
      <c r="C8" s="85">
        <v>23237</v>
      </c>
      <c r="D8" s="86">
        <f t="shared" si="0"/>
        <v>-32.94745449068296</v>
      </c>
      <c r="E8" s="84" t="s">
        <v>1510</v>
      </c>
      <c r="F8" s="87">
        <v>806327</v>
      </c>
      <c r="G8" s="89">
        <v>775051</v>
      </c>
      <c r="H8" s="88">
        <f t="shared" si="1"/>
        <v>4.035347351335588</v>
      </c>
    </row>
    <row r="9" spans="1:8" ht="16.5" customHeight="1">
      <c r="A9" s="84" t="s">
        <v>1511</v>
      </c>
      <c r="B9" s="85">
        <v>765242</v>
      </c>
      <c r="C9" s="85">
        <v>726521</v>
      </c>
      <c r="D9" s="86">
        <f t="shared" si="0"/>
        <v>5.329646355714431</v>
      </c>
      <c r="E9" s="84" t="s">
        <v>1512</v>
      </c>
      <c r="F9" s="87">
        <v>64544</v>
      </c>
      <c r="G9" s="87">
        <v>128594</v>
      </c>
      <c r="H9" s="88">
        <f t="shared" si="1"/>
        <v>-49.807922609141954</v>
      </c>
    </row>
    <row r="10" spans="1:8" ht="16.5" customHeight="1">
      <c r="A10" s="84" t="s">
        <v>1505</v>
      </c>
      <c r="B10" s="85">
        <v>568871</v>
      </c>
      <c r="C10" s="85">
        <v>529539</v>
      </c>
      <c r="D10" s="86">
        <f t="shared" si="0"/>
        <v>7.42759267967044</v>
      </c>
      <c r="E10" s="84" t="s">
        <v>1510</v>
      </c>
      <c r="F10" s="87">
        <v>64544</v>
      </c>
      <c r="G10" s="87">
        <v>128594</v>
      </c>
      <c r="H10" s="88">
        <f t="shared" si="1"/>
        <v>-49.807922609141954</v>
      </c>
    </row>
    <row r="11" spans="1:8" ht="16.5" customHeight="1">
      <c r="A11" s="84" t="s">
        <v>1507</v>
      </c>
      <c r="B11" s="85">
        <v>179324</v>
      </c>
      <c r="C11" s="85">
        <v>163022</v>
      </c>
      <c r="D11" s="86">
        <f t="shared" si="0"/>
        <v>9.999877317171908</v>
      </c>
      <c r="E11" s="84" t="s">
        <v>1514</v>
      </c>
      <c r="F11" s="87">
        <v>11639</v>
      </c>
      <c r="G11" s="87">
        <v>13546</v>
      </c>
      <c r="H11" s="88">
        <f t="shared" si="1"/>
        <v>-14.077956592351981</v>
      </c>
    </row>
    <row r="12" spans="1:8" ht="16.5" customHeight="1">
      <c r="A12" s="84" t="s">
        <v>1509</v>
      </c>
      <c r="B12" s="85">
        <v>2725</v>
      </c>
      <c r="C12" s="85">
        <v>5985</v>
      </c>
      <c r="D12" s="86">
        <f t="shared" si="0"/>
        <v>-54.46950710108605</v>
      </c>
      <c r="E12" s="84" t="s">
        <v>1515</v>
      </c>
      <c r="F12" s="87">
        <v>4200</v>
      </c>
      <c r="G12" s="87">
        <v>2800</v>
      </c>
      <c r="H12" s="88">
        <f t="shared" si="1"/>
        <v>50</v>
      </c>
    </row>
    <row r="13" spans="1:8" ht="16.5" customHeight="1">
      <c r="A13" s="84" t="s">
        <v>1512</v>
      </c>
      <c r="B13" s="85">
        <v>64545</v>
      </c>
      <c r="C13" s="85">
        <v>61804</v>
      </c>
      <c r="D13" s="86">
        <f t="shared" si="0"/>
        <v>4.434988026664939</v>
      </c>
      <c r="E13" s="84" t="s">
        <v>1516</v>
      </c>
      <c r="F13" s="87">
        <v>247223</v>
      </c>
      <c r="G13" s="87">
        <v>194293</v>
      </c>
      <c r="H13" s="88">
        <f t="shared" si="1"/>
        <v>27.24236076441251</v>
      </c>
    </row>
    <row r="14" spans="1:8" ht="16.5" customHeight="1">
      <c r="A14" s="84" t="s">
        <v>1505</v>
      </c>
      <c r="B14" s="85">
        <v>43698</v>
      </c>
      <c r="C14" s="85">
        <v>43634</v>
      </c>
      <c r="D14" s="86">
        <f t="shared" si="0"/>
        <v>0.14667461154145656</v>
      </c>
      <c r="E14" s="84" t="s">
        <v>1517</v>
      </c>
      <c r="F14" s="87">
        <v>246874</v>
      </c>
      <c r="G14" s="87">
        <v>194007</v>
      </c>
      <c r="H14" s="88">
        <f t="shared" si="1"/>
        <v>27.250047678692013</v>
      </c>
    </row>
    <row r="15" spans="1:8" ht="16.5" customHeight="1">
      <c r="A15" s="84" t="s">
        <v>1507</v>
      </c>
      <c r="B15" s="85">
        <v>20720</v>
      </c>
      <c r="C15" s="85">
        <v>18049</v>
      </c>
      <c r="D15" s="86">
        <f t="shared" si="0"/>
        <v>14.798603800764582</v>
      </c>
      <c r="E15" s="84" t="s">
        <v>1518</v>
      </c>
      <c r="F15" s="87">
        <v>13922</v>
      </c>
      <c r="G15" s="87">
        <v>7436</v>
      </c>
      <c r="H15" s="88">
        <f t="shared" si="1"/>
        <v>87.22431414739106</v>
      </c>
    </row>
    <row r="16" spans="1:8" ht="16.5" customHeight="1">
      <c r="A16" s="84" t="s">
        <v>1509</v>
      </c>
      <c r="B16" s="85">
        <v>127</v>
      </c>
      <c r="C16" s="85">
        <v>121</v>
      </c>
      <c r="D16" s="86">
        <f t="shared" si="0"/>
        <v>4.95867768595042</v>
      </c>
      <c r="E16" s="84" t="s">
        <v>1519</v>
      </c>
      <c r="F16" s="87">
        <v>13478</v>
      </c>
      <c r="G16" s="87">
        <v>6769</v>
      </c>
      <c r="H16" s="88">
        <f t="shared" si="1"/>
        <v>99.11360614566405</v>
      </c>
    </row>
    <row r="17" spans="1:8" ht="16.5" customHeight="1">
      <c r="A17" s="84" t="s">
        <v>1520</v>
      </c>
      <c r="B17" s="85">
        <v>20549</v>
      </c>
      <c r="C17" s="85">
        <v>33298</v>
      </c>
      <c r="D17" s="86">
        <f t="shared" si="0"/>
        <v>-38.287584839930325</v>
      </c>
      <c r="E17" s="84" t="s">
        <v>1521</v>
      </c>
      <c r="F17" s="90">
        <v>8253</v>
      </c>
      <c r="G17" s="91">
        <v>8333</v>
      </c>
      <c r="H17" s="88">
        <f t="shared" si="1"/>
        <v>-0.9600384015360532</v>
      </c>
    </row>
    <row r="18" spans="1:8" ht="16.5" customHeight="1">
      <c r="A18" s="84" t="s">
        <v>1505</v>
      </c>
      <c r="B18" s="85">
        <v>18978</v>
      </c>
      <c r="C18" s="85">
        <v>25662</v>
      </c>
      <c r="D18" s="86">
        <f t="shared" si="0"/>
        <v>-26.046294131400515</v>
      </c>
      <c r="E18" s="84" t="s">
        <v>1522</v>
      </c>
      <c r="F18" s="90">
        <v>8253</v>
      </c>
      <c r="G18" s="91">
        <v>8333</v>
      </c>
      <c r="H18" s="88">
        <f t="shared" si="1"/>
        <v>-0.9600384015360532</v>
      </c>
    </row>
    <row r="19" spans="1:8" ht="16.5" customHeight="1">
      <c r="A19" s="84" t="s">
        <v>1507</v>
      </c>
      <c r="B19" s="85">
        <v>0</v>
      </c>
      <c r="C19" s="85">
        <v>0</v>
      </c>
      <c r="D19" s="86" t="s">
        <v>1513</v>
      </c>
      <c r="E19" s="84" t="s">
        <v>1523</v>
      </c>
      <c r="F19" s="90">
        <v>0</v>
      </c>
      <c r="G19" s="91">
        <v>0</v>
      </c>
      <c r="H19" s="88" t="s">
        <v>1513</v>
      </c>
    </row>
    <row r="20" spans="1:8" ht="16.5" customHeight="1">
      <c r="A20" s="84" t="s">
        <v>1509</v>
      </c>
      <c r="B20" s="85">
        <v>400</v>
      </c>
      <c r="C20" s="85">
        <v>5400</v>
      </c>
      <c r="D20" s="86">
        <f aca="true" t="shared" si="2" ref="D20:D30">B20/C20*100-100</f>
        <v>-92.5925925925926</v>
      </c>
      <c r="E20" s="84" t="s">
        <v>1524</v>
      </c>
      <c r="F20" s="90">
        <v>0</v>
      </c>
      <c r="G20" s="91">
        <v>0</v>
      </c>
      <c r="H20" s="88" t="s">
        <v>1513</v>
      </c>
    </row>
    <row r="21" spans="1:8" ht="16.5" customHeight="1">
      <c r="A21" s="84" t="s">
        <v>1525</v>
      </c>
      <c r="B21" s="85">
        <v>234350</v>
      </c>
      <c r="C21" s="85">
        <v>210250</v>
      </c>
      <c r="D21" s="86">
        <f t="shared" si="2"/>
        <v>11.462544589774069</v>
      </c>
      <c r="E21" s="84" t="s">
        <v>1526</v>
      </c>
      <c r="F21" s="90">
        <v>13860</v>
      </c>
      <c r="G21" s="91">
        <v>11677</v>
      </c>
      <c r="H21" s="88">
        <f>F21/G21*100-100</f>
        <v>18.694870257771683</v>
      </c>
    </row>
    <row r="22" spans="1:8" ht="16.5" customHeight="1">
      <c r="A22" s="84" t="s">
        <v>1505</v>
      </c>
      <c r="B22" s="85">
        <v>204374</v>
      </c>
      <c r="C22" s="85">
        <v>174487</v>
      </c>
      <c r="D22" s="86">
        <f t="shared" si="2"/>
        <v>17.128496678835674</v>
      </c>
      <c r="E22" s="84" t="s">
        <v>1566</v>
      </c>
      <c r="F22" s="90">
        <v>11781</v>
      </c>
      <c r="G22" s="91">
        <v>8620</v>
      </c>
      <c r="H22" s="88">
        <f>F22/G22*100-100</f>
        <v>36.670533642691424</v>
      </c>
    </row>
    <row r="23" spans="1:8" ht="16.5" customHeight="1">
      <c r="A23" s="84" t="s">
        <v>1507</v>
      </c>
      <c r="B23" s="85">
        <v>20000</v>
      </c>
      <c r="C23" s="85">
        <v>26272</v>
      </c>
      <c r="D23" s="86">
        <f t="shared" si="2"/>
        <v>-23.8733252131547</v>
      </c>
      <c r="E23" s="92" t="s">
        <v>1513</v>
      </c>
      <c r="F23" s="90">
        <v>0</v>
      </c>
      <c r="G23" s="93"/>
      <c r="H23" s="88" t="s">
        <v>1513</v>
      </c>
    </row>
    <row r="24" spans="1:8" ht="16.5" customHeight="1">
      <c r="A24" s="84" t="s">
        <v>1509</v>
      </c>
      <c r="B24" s="85">
        <v>9658</v>
      </c>
      <c r="C24" s="85">
        <v>9189</v>
      </c>
      <c r="D24" s="86">
        <f t="shared" si="2"/>
        <v>5.103928610294915</v>
      </c>
      <c r="E24" s="92" t="s">
        <v>1513</v>
      </c>
      <c r="F24" s="90">
        <v>0</v>
      </c>
      <c r="G24" s="93"/>
      <c r="H24" s="88" t="s">
        <v>1513</v>
      </c>
    </row>
    <row r="25" spans="1:8" ht="16.5" customHeight="1">
      <c r="A25" s="84" t="s">
        <v>1528</v>
      </c>
      <c r="B25" s="85">
        <v>18121</v>
      </c>
      <c r="C25" s="85">
        <v>16659</v>
      </c>
      <c r="D25" s="86">
        <f t="shared" si="2"/>
        <v>8.776036977009412</v>
      </c>
      <c r="E25" s="94"/>
      <c r="F25" s="90"/>
      <c r="G25" s="93"/>
      <c r="H25" s="94"/>
    </row>
    <row r="26" spans="1:8" ht="16.5" customHeight="1">
      <c r="A26" s="84" t="s">
        <v>1505</v>
      </c>
      <c r="B26" s="85">
        <v>13107</v>
      </c>
      <c r="C26" s="85">
        <v>11871</v>
      </c>
      <c r="D26" s="86">
        <f t="shared" si="2"/>
        <v>10.411928228455892</v>
      </c>
      <c r="E26" s="94"/>
      <c r="F26" s="90"/>
      <c r="G26" s="93"/>
      <c r="H26" s="94"/>
    </row>
    <row r="27" spans="1:8" ht="16.5" customHeight="1">
      <c r="A27" s="84" t="s">
        <v>1507</v>
      </c>
      <c r="B27" s="85">
        <v>3583</v>
      </c>
      <c r="C27" s="85">
        <v>3409</v>
      </c>
      <c r="D27" s="86">
        <f t="shared" si="2"/>
        <v>5.104136110296281</v>
      </c>
      <c r="E27" s="94"/>
      <c r="F27" s="90"/>
      <c r="G27" s="93"/>
      <c r="H27" s="94"/>
    </row>
    <row r="28" spans="1:8" ht="16.5" customHeight="1">
      <c r="A28" s="84" t="s">
        <v>1509</v>
      </c>
      <c r="B28" s="85">
        <v>1249</v>
      </c>
      <c r="C28" s="85">
        <v>1188</v>
      </c>
      <c r="D28" s="86">
        <f t="shared" si="2"/>
        <v>5.134680134680124</v>
      </c>
      <c r="E28" s="94"/>
      <c r="F28" s="90"/>
      <c r="G28" s="93"/>
      <c r="H28" s="94"/>
    </row>
    <row r="29" spans="1:8" ht="16.5" customHeight="1">
      <c r="A29" s="84" t="s">
        <v>1529</v>
      </c>
      <c r="B29" s="85">
        <v>8840</v>
      </c>
      <c r="C29" s="85">
        <v>8354</v>
      </c>
      <c r="D29" s="86">
        <f t="shared" si="2"/>
        <v>5.8175724203974255</v>
      </c>
      <c r="E29" s="94"/>
      <c r="F29" s="90"/>
      <c r="G29" s="93"/>
      <c r="H29" s="94"/>
    </row>
    <row r="30" spans="1:8" ht="16.5" customHeight="1">
      <c r="A30" s="84" t="s">
        <v>1505</v>
      </c>
      <c r="B30" s="85">
        <v>8517</v>
      </c>
      <c r="C30" s="85">
        <v>8047</v>
      </c>
      <c r="D30" s="86">
        <f t="shared" si="2"/>
        <v>5.840685969926682</v>
      </c>
      <c r="E30" s="94"/>
      <c r="F30" s="90"/>
      <c r="G30" s="93"/>
      <c r="H30" s="94"/>
    </row>
    <row r="31" spans="1:8" ht="16.5" customHeight="1">
      <c r="A31" s="84" t="s">
        <v>1507</v>
      </c>
      <c r="B31" s="85">
        <v>0</v>
      </c>
      <c r="C31" s="85">
        <v>0</v>
      </c>
      <c r="D31" s="86" t="s">
        <v>1513</v>
      </c>
      <c r="E31" s="94"/>
      <c r="F31" s="90"/>
      <c r="G31" s="93"/>
      <c r="H31" s="94"/>
    </row>
    <row r="32" spans="1:8" ht="16.5" customHeight="1">
      <c r="A32" s="84" t="s">
        <v>1509</v>
      </c>
      <c r="B32" s="85">
        <v>322</v>
      </c>
      <c r="C32" s="85">
        <v>307</v>
      </c>
      <c r="D32" s="86">
        <f>B32/C32*100-100</f>
        <v>4.885993485342027</v>
      </c>
      <c r="E32" s="94"/>
      <c r="F32" s="90"/>
      <c r="G32" s="93"/>
      <c r="H32" s="94"/>
    </row>
    <row r="33" spans="1:8" ht="16.5" customHeight="1">
      <c r="A33" s="84" t="s">
        <v>1530</v>
      </c>
      <c r="B33" s="85">
        <v>0</v>
      </c>
      <c r="C33" s="85">
        <v>0</v>
      </c>
      <c r="D33" s="86" t="s">
        <v>1513</v>
      </c>
      <c r="E33" s="94"/>
      <c r="F33" s="90"/>
      <c r="G33" s="93"/>
      <c r="H33" s="94"/>
    </row>
    <row r="34" spans="1:8" ht="16.5" customHeight="1">
      <c r="A34" s="84" t="s">
        <v>1505</v>
      </c>
      <c r="B34" s="85">
        <v>0</v>
      </c>
      <c r="C34" s="85">
        <v>0</v>
      </c>
      <c r="D34" s="86" t="s">
        <v>1513</v>
      </c>
      <c r="E34" s="94"/>
      <c r="F34" s="90"/>
      <c r="G34" s="93"/>
      <c r="H34" s="94"/>
    </row>
    <row r="35" spans="1:8" ht="16.5" customHeight="1">
      <c r="A35" s="84" t="s">
        <v>1507</v>
      </c>
      <c r="B35" s="85">
        <v>0</v>
      </c>
      <c r="C35" s="85">
        <v>0</v>
      </c>
      <c r="D35" s="86" t="s">
        <v>1513</v>
      </c>
      <c r="E35" s="94"/>
      <c r="F35" s="90"/>
      <c r="G35" s="93"/>
      <c r="H35" s="94"/>
    </row>
    <row r="36" spans="1:8" ht="16.5" customHeight="1">
      <c r="A36" s="84" t="s">
        <v>1509</v>
      </c>
      <c r="B36" s="85">
        <v>0</v>
      </c>
      <c r="C36" s="85">
        <v>0</v>
      </c>
      <c r="D36" s="86" t="s">
        <v>1513</v>
      </c>
      <c r="E36" s="94"/>
      <c r="F36" s="90"/>
      <c r="G36" s="93"/>
      <c r="H36" s="94"/>
    </row>
    <row r="37" spans="1:8" ht="16.5" customHeight="1">
      <c r="A37" s="84" t="s">
        <v>1531</v>
      </c>
      <c r="B37" s="85">
        <v>46367</v>
      </c>
      <c r="C37" s="85">
        <v>128831</v>
      </c>
      <c r="D37" s="86">
        <f aca="true" t="shared" si="3" ref="D37:D40">B37/C37*100-100</f>
        <v>-64.00943872204671</v>
      </c>
      <c r="E37" s="94"/>
      <c r="F37" s="90"/>
      <c r="G37" s="93"/>
      <c r="H37" s="94"/>
    </row>
    <row r="38" spans="1:8" ht="16.5" customHeight="1">
      <c r="A38" s="84" t="s">
        <v>1505</v>
      </c>
      <c r="B38" s="85">
        <v>0</v>
      </c>
      <c r="C38" s="85">
        <v>0</v>
      </c>
      <c r="D38" s="86" t="s">
        <v>1513</v>
      </c>
      <c r="E38" s="94"/>
      <c r="F38" s="90"/>
      <c r="G38" s="93"/>
      <c r="H38" s="94"/>
    </row>
    <row r="39" spans="1:8" ht="16.5" customHeight="1">
      <c r="A39" s="84" t="s">
        <v>1507</v>
      </c>
      <c r="B39" s="85">
        <v>39766</v>
      </c>
      <c r="C39" s="85">
        <v>37037</v>
      </c>
      <c r="D39" s="86">
        <f t="shared" si="3"/>
        <v>7.368307368307356</v>
      </c>
      <c r="E39" s="94"/>
      <c r="F39" s="90"/>
      <c r="G39" s="93"/>
      <c r="H39" s="94"/>
    </row>
    <row r="40" spans="1:9" ht="16.5" customHeight="1">
      <c r="A40" s="84" t="s">
        <v>1509</v>
      </c>
      <c r="B40" s="85">
        <v>1101</v>
      </c>
      <c r="C40" s="85">
        <v>1047</v>
      </c>
      <c r="D40" s="86">
        <f t="shared" si="3"/>
        <v>5.157593123209153</v>
      </c>
      <c r="E40" s="94"/>
      <c r="F40" s="90"/>
      <c r="G40" s="93"/>
      <c r="H40" s="94"/>
      <c r="I40" s="97"/>
    </row>
    <row r="41" spans="1:9" ht="12" customHeight="1">
      <c r="A41" s="23" t="s">
        <v>1532</v>
      </c>
      <c r="B41" s="23"/>
      <c r="C41" s="23"/>
      <c r="D41" s="23"/>
      <c r="E41" s="23"/>
      <c r="F41" s="23"/>
      <c r="G41" s="23"/>
      <c r="H41" s="24"/>
      <c r="I41" s="98"/>
    </row>
  </sheetData>
  <sheetProtection/>
  <mergeCells count="3">
    <mergeCell ref="A2:H2"/>
    <mergeCell ref="G3:H3"/>
    <mergeCell ref="A41:I41"/>
  </mergeCells>
  <printOptions/>
  <pageMargins left="0.94" right="0.39" top="0.98" bottom="0.84" header="0.51" footer="0.51"/>
  <pageSetup horizontalDpi="600" verticalDpi="600" orientation="landscape" paperSize="9"/>
  <headerFooter scaleWithDoc="0" alignWithMargins="0">
    <oddFooter>&amp;C—&amp;P+65—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I30"/>
  <sheetViews>
    <sheetView workbookViewId="0" topLeftCell="A1">
      <pane xSplit="1" ySplit="4" topLeftCell="B5" activePane="bottomRight" state="frozen"/>
      <selection pane="bottomRight" activeCell="A2" sqref="A2:H2"/>
    </sheetView>
  </sheetViews>
  <sheetFormatPr defaultColWidth="9.00390625" defaultRowHeight="19.5" customHeight="1"/>
  <cols>
    <col min="1" max="1" width="27.50390625" style="0" customWidth="1"/>
    <col min="2" max="3" width="12.625" style="368" customWidth="1"/>
    <col min="4" max="4" width="12.625" style="370" customWidth="1"/>
    <col min="5" max="5" width="33.00390625" style="0" customWidth="1"/>
    <col min="6" max="6" width="12.625" style="6" customWidth="1"/>
    <col min="7" max="7" width="12.625" style="471" customWidth="1"/>
    <col min="8" max="8" width="12.625" style="370" customWidth="1"/>
  </cols>
  <sheetData>
    <row r="1" ht="15.75" customHeight="1">
      <c r="A1" s="472" t="s">
        <v>58</v>
      </c>
    </row>
    <row r="2" spans="1:8" ht="27" customHeight="1">
      <c r="A2" s="200" t="s">
        <v>59</v>
      </c>
      <c r="B2" s="200"/>
      <c r="C2" s="200"/>
      <c r="D2" s="200"/>
      <c r="E2" s="200"/>
      <c r="F2" s="200"/>
      <c r="G2" s="200"/>
      <c r="H2" s="200"/>
    </row>
    <row r="3" spans="7:8" ht="15.75" customHeight="1">
      <c r="G3" s="473"/>
      <c r="H3" s="474" t="s">
        <v>6</v>
      </c>
    </row>
    <row r="4" spans="1:8" s="269" customFormat="1" ht="23.25" customHeight="1">
      <c r="A4" s="285" t="s">
        <v>7</v>
      </c>
      <c r="B4" s="179" t="s">
        <v>8</v>
      </c>
      <c r="C4" s="182" t="s">
        <v>9</v>
      </c>
      <c r="D4" s="290" t="s">
        <v>10</v>
      </c>
      <c r="E4" s="290" t="s">
        <v>11</v>
      </c>
      <c r="F4" s="179" t="s">
        <v>60</v>
      </c>
      <c r="G4" s="182" t="s">
        <v>9</v>
      </c>
      <c r="H4" s="290" t="s">
        <v>10</v>
      </c>
    </row>
    <row r="5" spans="1:8" s="301" customFormat="1" ht="18" customHeight="1">
      <c r="A5" s="183" t="s">
        <v>12</v>
      </c>
      <c r="B5" s="453">
        <f>SUM(B6:B19)</f>
        <v>1216610</v>
      </c>
      <c r="C5" s="453">
        <f>SUM(C6:C19)</f>
        <v>1223990</v>
      </c>
      <c r="D5" s="108">
        <f aca="true" t="shared" si="0" ref="D5:D16">B5/C5*100-100</f>
        <v>-0.6029461025008374</v>
      </c>
      <c r="E5" s="183" t="s">
        <v>13</v>
      </c>
      <c r="F5" s="453">
        <v>104461</v>
      </c>
      <c r="G5" s="453">
        <v>87488</v>
      </c>
      <c r="H5" s="108">
        <f>F5/G5*100-100</f>
        <v>19.400374908558888</v>
      </c>
    </row>
    <row r="6" spans="1:8" s="301" customFormat="1" ht="18" customHeight="1">
      <c r="A6" s="442" t="s">
        <v>14</v>
      </c>
      <c r="B6" s="453">
        <v>252339</v>
      </c>
      <c r="C6" s="307">
        <v>92608</v>
      </c>
      <c r="D6" s="108">
        <f t="shared" si="0"/>
        <v>172.4807791983414</v>
      </c>
      <c r="E6" s="183" t="s">
        <v>15</v>
      </c>
      <c r="F6" s="295"/>
      <c r="G6" s="453"/>
      <c r="H6" s="108"/>
    </row>
    <row r="7" spans="1:8" s="301" customFormat="1" ht="18" customHeight="1">
      <c r="A7" s="442" t="s">
        <v>16</v>
      </c>
      <c r="B7" s="453">
        <v>344156</v>
      </c>
      <c r="C7" s="475">
        <v>551464</v>
      </c>
      <c r="D7" s="108">
        <f t="shared" si="0"/>
        <v>-37.59229976934124</v>
      </c>
      <c r="E7" s="183" t="s">
        <v>17</v>
      </c>
      <c r="F7" s="453">
        <v>1932</v>
      </c>
      <c r="G7" s="453">
        <v>1614</v>
      </c>
      <c r="H7" s="108">
        <f aca="true" t="shared" si="1" ref="H7:H20">F7/G7*100-100</f>
        <v>19.70260223048328</v>
      </c>
    </row>
    <row r="8" spans="1:8" s="301" customFormat="1" ht="18" customHeight="1">
      <c r="A8" s="442" t="s">
        <v>18</v>
      </c>
      <c r="B8" s="453">
        <v>142684</v>
      </c>
      <c r="C8" s="453">
        <v>147083</v>
      </c>
      <c r="D8" s="108">
        <f t="shared" si="0"/>
        <v>-2.990828307826206</v>
      </c>
      <c r="E8" s="183" t="s">
        <v>19</v>
      </c>
      <c r="F8" s="453">
        <v>125719</v>
      </c>
      <c r="G8" s="453">
        <v>97342</v>
      </c>
      <c r="H8" s="108">
        <f t="shared" si="1"/>
        <v>29.15185634155864</v>
      </c>
    </row>
    <row r="9" spans="1:9" s="301" customFormat="1" ht="18" customHeight="1">
      <c r="A9" s="442" t="s">
        <v>20</v>
      </c>
      <c r="B9" s="453">
        <v>78473</v>
      </c>
      <c r="C9" s="453">
        <v>77169</v>
      </c>
      <c r="D9" s="108">
        <f t="shared" si="0"/>
        <v>1.689797716699701</v>
      </c>
      <c r="E9" s="183" t="s">
        <v>21</v>
      </c>
      <c r="F9" s="453">
        <v>230798</v>
      </c>
      <c r="G9" s="453">
        <v>219630</v>
      </c>
      <c r="H9" s="108">
        <f t="shared" si="1"/>
        <v>5.084915539771444</v>
      </c>
      <c r="I9" s="477"/>
    </row>
    <row r="10" spans="1:8" s="301" customFormat="1" ht="18" customHeight="1">
      <c r="A10" s="442" t="s">
        <v>22</v>
      </c>
      <c r="B10" s="453">
        <v>798</v>
      </c>
      <c r="C10" s="453">
        <v>566</v>
      </c>
      <c r="D10" s="108">
        <f t="shared" si="0"/>
        <v>40.989399293286226</v>
      </c>
      <c r="E10" s="183" t="s">
        <v>23</v>
      </c>
      <c r="F10" s="453">
        <v>22487</v>
      </c>
      <c r="G10" s="453">
        <v>23615</v>
      </c>
      <c r="H10" s="108">
        <f t="shared" si="1"/>
        <v>-4.776625026466235</v>
      </c>
    </row>
    <row r="11" spans="1:8" s="301" customFormat="1" ht="18" customHeight="1">
      <c r="A11" s="442" t="s">
        <v>24</v>
      </c>
      <c r="B11" s="453">
        <v>92253</v>
      </c>
      <c r="C11" s="453">
        <v>73367</v>
      </c>
      <c r="D11" s="108">
        <f t="shared" si="0"/>
        <v>25.74181852876633</v>
      </c>
      <c r="E11" s="183" t="s">
        <v>25</v>
      </c>
      <c r="F11" s="453">
        <v>34929</v>
      </c>
      <c r="G11" s="453">
        <v>25356</v>
      </c>
      <c r="H11" s="108">
        <f t="shared" si="1"/>
        <v>37.75437766209183</v>
      </c>
    </row>
    <row r="12" spans="1:9" s="301" customFormat="1" ht="18" customHeight="1">
      <c r="A12" s="442" t="s">
        <v>26</v>
      </c>
      <c r="B12" s="453">
        <v>38338</v>
      </c>
      <c r="C12" s="453">
        <v>36265</v>
      </c>
      <c r="D12" s="108">
        <f t="shared" si="0"/>
        <v>5.716255342616833</v>
      </c>
      <c r="E12" s="183" t="s">
        <v>27</v>
      </c>
      <c r="F12" s="453">
        <v>238719</v>
      </c>
      <c r="G12" s="453">
        <v>246921</v>
      </c>
      <c r="H12" s="108">
        <f t="shared" si="1"/>
        <v>-3.32171018260901</v>
      </c>
      <c r="I12" s="477"/>
    </row>
    <row r="13" spans="1:8" s="301" customFormat="1" ht="18" customHeight="1">
      <c r="A13" s="442" t="s">
        <v>28</v>
      </c>
      <c r="B13" s="453">
        <v>21589</v>
      </c>
      <c r="C13" s="453">
        <v>17020</v>
      </c>
      <c r="D13" s="108">
        <f t="shared" si="0"/>
        <v>26.8448883666275</v>
      </c>
      <c r="E13" s="183" t="s">
        <v>29</v>
      </c>
      <c r="F13" s="453">
        <v>159044</v>
      </c>
      <c r="G13" s="453">
        <v>152855</v>
      </c>
      <c r="H13" s="108">
        <f t="shared" si="1"/>
        <v>4.048935265447653</v>
      </c>
    </row>
    <row r="14" spans="1:8" s="301" customFormat="1" ht="18" customHeight="1">
      <c r="A14" s="442" t="s">
        <v>30</v>
      </c>
      <c r="B14" s="453">
        <v>20256</v>
      </c>
      <c r="C14" s="453">
        <v>21853</v>
      </c>
      <c r="D14" s="108">
        <f t="shared" si="0"/>
        <v>-7.307921109229852</v>
      </c>
      <c r="E14" s="183" t="s">
        <v>31</v>
      </c>
      <c r="F14" s="453">
        <v>15608</v>
      </c>
      <c r="G14" s="453">
        <v>17388</v>
      </c>
      <c r="H14" s="108">
        <f t="shared" si="1"/>
        <v>-10.236945019553715</v>
      </c>
    </row>
    <row r="15" spans="1:9" s="301" customFormat="1" ht="18" customHeight="1">
      <c r="A15" s="442" t="s">
        <v>32</v>
      </c>
      <c r="B15" s="453">
        <v>113831</v>
      </c>
      <c r="C15" s="453">
        <v>103561</v>
      </c>
      <c r="D15" s="108">
        <f t="shared" si="0"/>
        <v>9.916860594239154</v>
      </c>
      <c r="E15" s="183" t="s">
        <v>33</v>
      </c>
      <c r="F15" s="453">
        <v>492886</v>
      </c>
      <c r="G15" s="453">
        <v>405761</v>
      </c>
      <c r="H15" s="108">
        <f t="shared" si="1"/>
        <v>21.47199952681504</v>
      </c>
      <c r="I15" s="478"/>
    </row>
    <row r="16" spans="1:9" s="301" customFormat="1" ht="18" customHeight="1">
      <c r="A16" s="442" t="s">
        <v>34</v>
      </c>
      <c r="B16" s="453">
        <v>11110</v>
      </c>
      <c r="C16" s="453">
        <v>11625</v>
      </c>
      <c r="D16" s="108">
        <f t="shared" si="0"/>
        <v>-4.430107526881727</v>
      </c>
      <c r="E16" s="183" t="s">
        <v>35</v>
      </c>
      <c r="F16" s="453">
        <v>40563</v>
      </c>
      <c r="G16" s="453">
        <v>53582</v>
      </c>
      <c r="H16" s="108">
        <f t="shared" si="1"/>
        <v>-24.297338658504714</v>
      </c>
      <c r="I16" s="478"/>
    </row>
    <row r="17" spans="1:8" s="301" customFormat="1" ht="18" customHeight="1">
      <c r="A17" s="183" t="s">
        <v>36</v>
      </c>
      <c r="B17" s="453"/>
      <c r="C17" s="453"/>
      <c r="D17" s="108"/>
      <c r="E17" s="183" t="s">
        <v>37</v>
      </c>
      <c r="F17" s="453">
        <v>76096</v>
      </c>
      <c r="G17" s="453">
        <v>135718</v>
      </c>
      <c r="H17" s="108">
        <f t="shared" si="1"/>
        <v>-43.93079768343182</v>
      </c>
    </row>
    <row r="18" spans="1:8" s="301" customFormat="1" ht="18" customHeight="1">
      <c r="A18" s="442" t="s">
        <v>38</v>
      </c>
      <c r="B18" s="453">
        <v>100775</v>
      </c>
      <c r="C18" s="453">
        <v>91409</v>
      </c>
      <c r="D18" s="108">
        <f aca="true" t="shared" si="2" ref="D18:D23">B18/C18*100-100</f>
        <v>10.24625583914056</v>
      </c>
      <c r="E18" s="183" t="s">
        <v>39</v>
      </c>
      <c r="F18" s="453">
        <v>295310</v>
      </c>
      <c r="G18" s="453">
        <v>160991</v>
      </c>
      <c r="H18" s="108">
        <f t="shared" si="1"/>
        <v>83.43261424551682</v>
      </c>
    </row>
    <row r="19" spans="1:8" s="301" customFormat="1" ht="18" customHeight="1">
      <c r="A19" s="442" t="s">
        <v>61</v>
      </c>
      <c r="B19" s="187">
        <v>8</v>
      </c>
      <c r="C19" s="187"/>
      <c r="D19" s="108"/>
      <c r="E19" s="183" t="s">
        <v>41</v>
      </c>
      <c r="F19" s="453">
        <v>10244</v>
      </c>
      <c r="G19" s="453">
        <v>8366</v>
      </c>
      <c r="H19" s="108">
        <f t="shared" si="1"/>
        <v>22.448003825005983</v>
      </c>
    </row>
    <row r="20" spans="1:8" s="301" customFormat="1" ht="18" customHeight="1">
      <c r="A20" s="183" t="s">
        <v>42</v>
      </c>
      <c r="B20" s="453">
        <f>B21+B22+B23+B24+B25+B26</f>
        <v>360296</v>
      </c>
      <c r="C20" s="453">
        <f>C21+C22+C23+C24+C25+C26</f>
        <v>273581</v>
      </c>
      <c r="D20" s="108">
        <f t="shared" si="2"/>
        <v>31.6962800779294</v>
      </c>
      <c r="E20" s="183" t="s">
        <v>43</v>
      </c>
      <c r="F20" s="453">
        <v>999</v>
      </c>
      <c r="G20" s="453">
        <v>290</v>
      </c>
      <c r="H20" s="108">
        <f t="shared" si="1"/>
        <v>244.48275862068965</v>
      </c>
    </row>
    <row r="21" spans="1:8" s="301" customFormat="1" ht="18" customHeight="1">
      <c r="A21" s="461" t="s">
        <v>44</v>
      </c>
      <c r="B21" s="453">
        <v>113631</v>
      </c>
      <c r="C21" s="453">
        <v>107698</v>
      </c>
      <c r="D21" s="108">
        <f t="shared" si="2"/>
        <v>5.508923099779011</v>
      </c>
      <c r="E21" s="183" t="s">
        <v>45</v>
      </c>
      <c r="F21" s="187"/>
      <c r="G21" s="187"/>
      <c r="H21" s="108"/>
    </row>
    <row r="22" spans="1:8" s="301" customFormat="1" ht="18" customHeight="1">
      <c r="A22" s="461" t="s">
        <v>46</v>
      </c>
      <c r="B22" s="453">
        <v>153016</v>
      </c>
      <c r="C22" s="453">
        <v>75895</v>
      </c>
      <c r="D22" s="108">
        <f t="shared" si="2"/>
        <v>101.61538968311481</v>
      </c>
      <c r="E22" s="183" t="s">
        <v>47</v>
      </c>
      <c r="F22" s="187">
        <v>10685</v>
      </c>
      <c r="G22" s="187">
        <v>7536</v>
      </c>
      <c r="H22" s="108">
        <f aca="true" t="shared" si="3" ref="H22:H26">F22/G22*100-100</f>
        <v>41.78609341825904</v>
      </c>
    </row>
    <row r="23" spans="1:8" s="301" customFormat="1" ht="18" customHeight="1">
      <c r="A23" s="461" t="s">
        <v>48</v>
      </c>
      <c r="B23" s="453">
        <v>29946</v>
      </c>
      <c r="C23" s="453">
        <v>21962</v>
      </c>
      <c r="D23" s="108">
        <f t="shared" si="2"/>
        <v>36.35370184864766</v>
      </c>
      <c r="E23" s="183" t="s">
        <v>49</v>
      </c>
      <c r="F23" s="187">
        <v>85190</v>
      </c>
      <c r="G23" s="187">
        <v>150967</v>
      </c>
      <c r="H23" s="108">
        <f t="shared" si="3"/>
        <v>-43.570449171010885</v>
      </c>
    </row>
    <row r="24" spans="1:8" s="301" customFormat="1" ht="18" customHeight="1">
      <c r="A24" s="461" t="s">
        <v>50</v>
      </c>
      <c r="B24" s="453"/>
      <c r="C24" s="453"/>
      <c r="D24" s="108"/>
      <c r="E24" s="266" t="s">
        <v>51</v>
      </c>
      <c r="F24" s="187">
        <v>4035</v>
      </c>
      <c r="G24" s="187">
        <v>4423</v>
      </c>
      <c r="H24" s="108">
        <f t="shared" si="3"/>
        <v>-8.772326475243048</v>
      </c>
    </row>
    <row r="25" spans="1:8" s="301" customFormat="1" ht="18" customHeight="1">
      <c r="A25" s="461" t="s">
        <v>52</v>
      </c>
      <c r="B25" s="453">
        <v>57923</v>
      </c>
      <c r="C25" s="453">
        <v>56714</v>
      </c>
      <c r="D25" s="108">
        <f aca="true" t="shared" si="4" ref="D25:D29">B25/C25*100-100</f>
        <v>2.1317487745530173</v>
      </c>
      <c r="E25" s="266" t="s">
        <v>53</v>
      </c>
      <c r="F25" s="187">
        <v>25906</v>
      </c>
      <c r="G25" s="187">
        <v>158</v>
      </c>
      <c r="H25" s="108">
        <f t="shared" si="3"/>
        <v>16296.20253164557</v>
      </c>
    </row>
    <row r="26" spans="1:8" s="301" customFormat="1" ht="18" customHeight="1">
      <c r="A26" s="461" t="s">
        <v>54</v>
      </c>
      <c r="B26" s="453">
        <v>5780</v>
      </c>
      <c r="C26" s="453">
        <v>11312</v>
      </c>
      <c r="D26" s="108">
        <f t="shared" si="4"/>
        <v>-48.903818953323906</v>
      </c>
      <c r="E26" s="266" t="s">
        <v>55</v>
      </c>
      <c r="F26" s="187">
        <v>8064</v>
      </c>
      <c r="G26" s="187">
        <v>14477</v>
      </c>
      <c r="H26" s="108">
        <f t="shared" si="3"/>
        <v>-44.29785176486841</v>
      </c>
    </row>
    <row r="27" spans="1:8" s="301" customFormat="1" ht="18" customHeight="1">
      <c r="A27" s="461"/>
      <c r="B27" s="453"/>
      <c r="C27" s="453"/>
      <c r="D27" s="108"/>
      <c r="E27" s="266"/>
      <c r="F27" s="476"/>
      <c r="G27" s="476"/>
      <c r="H27" s="108"/>
    </row>
    <row r="28" spans="1:8" s="301" customFormat="1" ht="18" customHeight="1">
      <c r="A28" s="468"/>
      <c r="B28" s="187"/>
      <c r="C28" s="187"/>
      <c r="D28" s="108"/>
      <c r="E28" s="461"/>
      <c r="F28" s="476"/>
      <c r="G28" s="476"/>
      <c r="H28" s="108"/>
    </row>
    <row r="29" spans="1:8" s="301" customFormat="1" ht="18" customHeight="1">
      <c r="A29" s="175" t="s">
        <v>56</v>
      </c>
      <c r="B29" s="187">
        <f>B5+B20</f>
        <v>1576906</v>
      </c>
      <c r="C29" s="187">
        <f>C5+C20</f>
        <v>1497571</v>
      </c>
      <c r="D29" s="108">
        <f t="shared" si="4"/>
        <v>5.297578545524729</v>
      </c>
      <c r="E29" s="189" t="s">
        <v>57</v>
      </c>
      <c r="F29" s="476">
        <f>SUM(F5:F26)</f>
        <v>1983675</v>
      </c>
      <c r="G29" s="476">
        <f>SUM(G5:G26)</f>
        <v>1814478</v>
      </c>
      <c r="H29" s="108">
        <f>F29/G29*100-100</f>
        <v>9.324830612440607</v>
      </c>
    </row>
    <row r="30" ht="19.5" customHeight="1">
      <c r="A30" s="269"/>
    </row>
  </sheetData>
  <sheetProtection/>
  <mergeCells count="1">
    <mergeCell ref="A2:H2"/>
  </mergeCells>
  <printOptions horizontalCentered="1" verticalCentered="1"/>
  <pageMargins left="0.39" right="0.39" top="0.32" bottom="0.3" header="0.17" footer="0.18"/>
  <pageSetup horizontalDpi="600" verticalDpi="600" orientation="landscape" paperSize="9" scale="95"/>
  <headerFooter scaleWithDoc="0" alignWithMargins="0">
    <oddFooter>&amp;C—&amp;P+1—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dimension ref="A1:C23"/>
  <sheetViews>
    <sheetView showZeros="0" zoomScaleSheetLayoutView="100" workbookViewId="0" topLeftCell="A1">
      <selection activeCell="C16" sqref="C16"/>
    </sheetView>
  </sheetViews>
  <sheetFormatPr defaultColWidth="9.00390625" defaultRowHeight="14.25"/>
  <cols>
    <col min="1" max="1" width="58.00390625" style="69" customWidth="1"/>
    <col min="2" max="2" width="31.50390625" style="69" customWidth="1"/>
    <col min="3" max="3" width="26.25390625" style="69" customWidth="1"/>
    <col min="4" max="16384" width="9.00390625" style="69" customWidth="1"/>
  </cols>
  <sheetData>
    <row r="1" spans="1:2" ht="14.25">
      <c r="A1" s="70" t="s">
        <v>1567</v>
      </c>
      <c r="B1" s="71"/>
    </row>
    <row r="2" spans="1:3" ht="25.5">
      <c r="A2" s="72" t="s">
        <v>1568</v>
      </c>
      <c r="B2" s="72"/>
      <c r="C2" s="72"/>
    </row>
    <row r="3" spans="1:3" ht="14.25">
      <c r="A3" s="73"/>
      <c r="B3" s="73"/>
      <c r="C3" s="74" t="s">
        <v>6</v>
      </c>
    </row>
    <row r="4" spans="1:3" ht="16.5" customHeight="1">
      <c r="A4" s="63" t="s">
        <v>1502</v>
      </c>
      <c r="B4" s="62" t="s">
        <v>1569</v>
      </c>
      <c r="C4" s="62" t="s">
        <v>1570</v>
      </c>
    </row>
    <row r="5" spans="1:3" ht="18" customHeight="1">
      <c r="A5" s="19" t="s">
        <v>1535</v>
      </c>
      <c r="B5" s="75">
        <v>-69953</v>
      </c>
      <c r="C5" s="18">
        <v>48832</v>
      </c>
    </row>
    <row r="6" spans="1:3" ht="18" customHeight="1">
      <c r="A6" s="19" t="s">
        <v>1536</v>
      </c>
      <c r="B6" s="75">
        <v>951752</v>
      </c>
      <c r="C6" s="18">
        <v>1021705</v>
      </c>
    </row>
    <row r="7" spans="1:3" ht="18" customHeight="1">
      <c r="A7" s="19" t="s">
        <v>1537</v>
      </c>
      <c r="B7" s="75">
        <v>-103283</v>
      </c>
      <c r="C7" s="18">
        <v>-86169</v>
      </c>
    </row>
    <row r="8" spans="1:3" ht="18" customHeight="1">
      <c r="A8" s="22" t="s">
        <v>1538</v>
      </c>
      <c r="B8" s="75">
        <v>50420</v>
      </c>
      <c r="C8" s="18">
        <v>153703</v>
      </c>
    </row>
    <row r="9" spans="1:3" ht="18" customHeight="1">
      <c r="A9" s="22" t="s">
        <v>1539</v>
      </c>
      <c r="B9" s="75">
        <v>1</v>
      </c>
      <c r="C9" s="18">
        <v>1</v>
      </c>
    </row>
    <row r="10" spans="1:3" ht="18" customHeight="1">
      <c r="A10" s="22" t="s">
        <v>1540</v>
      </c>
      <c r="B10" s="75">
        <v>1</v>
      </c>
      <c r="C10" s="18">
        <v>1</v>
      </c>
    </row>
    <row r="11" spans="1:3" ht="18" customHeight="1">
      <c r="A11" s="22" t="s">
        <v>1541</v>
      </c>
      <c r="B11" s="75">
        <v>8910</v>
      </c>
      <c r="C11" s="18">
        <v>21071</v>
      </c>
    </row>
    <row r="12" spans="1:3" ht="18" customHeight="1">
      <c r="A12" s="22" t="s">
        <v>1542</v>
      </c>
      <c r="B12" s="75">
        <v>251559</v>
      </c>
      <c r="C12" s="18">
        <v>242649</v>
      </c>
    </row>
    <row r="13" spans="1:3" ht="18" customHeight="1">
      <c r="A13" s="22" t="s">
        <v>1543</v>
      </c>
      <c r="B13" s="75">
        <v>-12873</v>
      </c>
      <c r="C13" s="18">
        <v>-7224</v>
      </c>
    </row>
    <row r="14" spans="1:3" ht="18" customHeight="1">
      <c r="A14" s="22" t="s">
        <v>1544</v>
      </c>
      <c r="B14" s="75">
        <v>399289</v>
      </c>
      <c r="C14" s="18">
        <v>412161</v>
      </c>
    </row>
    <row r="15" spans="1:3" ht="18" customHeight="1">
      <c r="A15" s="22" t="s">
        <v>1545</v>
      </c>
      <c r="B15" s="75">
        <v>4198</v>
      </c>
      <c r="C15" s="18">
        <v>3962</v>
      </c>
    </row>
    <row r="16" spans="1:3" ht="18" customHeight="1">
      <c r="A16" s="22" t="s">
        <v>1546</v>
      </c>
      <c r="B16" s="75">
        <v>80963</v>
      </c>
      <c r="C16" s="18">
        <v>76765</v>
      </c>
    </row>
    <row r="17" spans="1:3" ht="18" customHeight="1">
      <c r="A17" s="22" t="s">
        <v>1547</v>
      </c>
      <c r="B17" s="76">
        <v>586</v>
      </c>
      <c r="C17" s="18">
        <v>537</v>
      </c>
    </row>
    <row r="18" spans="1:3" ht="18" customHeight="1">
      <c r="A18" s="22" t="s">
        <v>1548</v>
      </c>
      <c r="B18" s="76">
        <v>20359</v>
      </c>
      <c r="C18" s="18">
        <v>19772</v>
      </c>
    </row>
    <row r="19" spans="1:3" ht="18" customHeight="1">
      <c r="A19" s="22" t="s">
        <v>1549</v>
      </c>
      <c r="B19" s="76">
        <v>0</v>
      </c>
      <c r="C19" s="18">
        <v>0</v>
      </c>
    </row>
    <row r="20" spans="1:3" ht="18" customHeight="1">
      <c r="A20" s="22" t="s">
        <v>1550</v>
      </c>
      <c r="B20" s="76">
        <v>0</v>
      </c>
      <c r="C20" s="18">
        <v>0</v>
      </c>
    </row>
    <row r="21" spans="1:3" ht="18" customHeight="1">
      <c r="A21" s="22" t="s">
        <v>1571</v>
      </c>
      <c r="B21" s="76">
        <v>32507</v>
      </c>
      <c r="C21" s="18">
        <v>116655</v>
      </c>
    </row>
    <row r="22" spans="1:3" ht="18" customHeight="1">
      <c r="A22" s="22" t="s">
        <v>1572</v>
      </c>
      <c r="B22" s="76">
        <v>149162</v>
      </c>
      <c r="C22" s="18">
        <v>116655</v>
      </c>
    </row>
    <row r="23" spans="1:3" ht="14.25">
      <c r="A23" s="23" t="s">
        <v>1532</v>
      </c>
      <c r="B23" s="23"/>
      <c r="C23" s="23"/>
    </row>
  </sheetData>
  <sheetProtection/>
  <mergeCells count="2">
    <mergeCell ref="A2:C2"/>
    <mergeCell ref="A23:C23"/>
  </mergeCells>
  <printOptions horizontalCentered="1" verticalCentered="1"/>
  <pageMargins left="0.75" right="0.75" top="0.98" bottom="0.98" header="0.51" footer="0.51"/>
  <pageSetup horizontalDpi="600" verticalDpi="600" orientation="landscape" paperSize="9" scale="98"/>
  <headerFooter scaleWithDoc="0" alignWithMargins="0">
    <oddFooter>&amp;C—&amp;P+67—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dimension ref="A1:W42"/>
  <sheetViews>
    <sheetView showZeros="0" workbookViewId="0" topLeftCell="A1">
      <pane xSplit="1" ySplit="5" topLeftCell="B6" activePane="bottomRight" state="frozen"/>
      <selection pane="bottomRight" activeCell="A1" sqref="A1"/>
    </sheetView>
  </sheetViews>
  <sheetFormatPr defaultColWidth="9.00390625" defaultRowHeight="14.25" customHeight="1"/>
  <cols>
    <col min="1" max="1" width="29.50390625" style="0" customWidth="1"/>
    <col min="2" max="2" width="9.375" style="21" customWidth="1"/>
    <col min="3" max="3" width="10.00390625" style="21" customWidth="1"/>
    <col min="4" max="4" width="10.625" style="55" customWidth="1"/>
    <col min="5" max="6" width="10.625" style="21" customWidth="1"/>
    <col min="7" max="7" width="10.625" style="55" customWidth="1"/>
    <col min="8" max="9" width="10.625" style="21" customWidth="1"/>
    <col min="10" max="10" width="10.625" style="55" customWidth="1"/>
    <col min="11" max="23" width="9.00390625" style="0" hidden="1" customWidth="1"/>
  </cols>
  <sheetData>
    <row r="1" spans="1:2" ht="14.25" customHeight="1">
      <c r="A1" s="33" t="s">
        <v>1573</v>
      </c>
      <c r="B1" s="56"/>
    </row>
    <row r="2" spans="1:10" ht="30" customHeight="1">
      <c r="A2" s="9" t="s">
        <v>1574</v>
      </c>
      <c r="B2" s="9"/>
      <c r="C2" s="9"/>
      <c r="D2" s="9"/>
      <c r="E2" s="9"/>
      <c r="F2" s="9"/>
      <c r="G2" s="9"/>
      <c r="H2" s="9"/>
      <c r="I2" s="9"/>
      <c r="J2" s="9"/>
    </row>
    <row r="3" spans="1:10" ht="21" customHeight="1">
      <c r="A3" s="10"/>
      <c r="B3" s="57"/>
      <c r="C3" s="57"/>
      <c r="D3" s="38"/>
      <c r="E3" s="39"/>
      <c r="H3" s="58" t="s">
        <v>6</v>
      </c>
      <c r="I3" s="58"/>
      <c r="J3" s="58"/>
    </row>
    <row r="4" spans="1:14" ht="21" customHeight="1">
      <c r="A4" s="13" t="s">
        <v>1500</v>
      </c>
      <c r="B4" s="41" t="s">
        <v>87</v>
      </c>
      <c r="C4" s="42"/>
      <c r="D4" s="43"/>
      <c r="E4" s="59" t="s">
        <v>88</v>
      </c>
      <c r="F4" s="60"/>
      <c r="G4" s="61"/>
      <c r="H4" s="59" t="s">
        <v>89</v>
      </c>
      <c r="I4" s="60"/>
      <c r="J4" s="61"/>
      <c r="N4" t="s">
        <v>891</v>
      </c>
    </row>
    <row r="5" spans="1:17" ht="45.75" customHeight="1">
      <c r="A5" s="13"/>
      <c r="B5" s="62" t="s">
        <v>93</v>
      </c>
      <c r="C5" s="62" t="s">
        <v>8</v>
      </c>
      <c r="D5" s="63" t="s">
        <v>1565</v>
      </c>
      <c r="E5" s="62" t="s">
        <v>93</v>
      </c>
      <c r="F5" s="62" t="s">
        <v>8</v>
      </c>
      <c r="G5" s="63" t="s">
        <v>1565</v>
      </c>
      <c r="H5" s="62" t="s">
        <v>93</v>
      </c>
      <c r="I5" s="62" t="s">
        <v>8</v>
      </c>
      <c r="J5" s="63" t="s">
        <v>1565</v>
      </c>
      <c r="K5">
        <v>2017</v>
      </c>
      <c r="L5">
        <v>2016</v>
      </c>
      <c r="N5" s="62" t="s">
        <v>93</v>
      </c>
      <c r="O5" s="62" t="s">
        <v>8</v>
      </c>
      <c r="P5" s="63" t="s">
        <v>1565</v>
      </c>
      <c r="Q5" t="s">
        <v>1556</v>
      </c>
    </row>
    <row r="6" spans="1:23" ht="16.5" customHeight="1">
      <c r="A6" s="64" t="s">
        <v>1503</v>
      </c>
      <c r="B6" s="65">
        <v>30247.822043</v>
      </c>
      <c r="C6" s="65">
        <v>45568.396787</v>
      </c>
      <c r="D6" s="52">
        <f aca="true" t="shared" si="0" ref="D6:D11">B6/C6*100-100</f>
        <v>-33.62105280028358</v>
      </c>
      <c r="E6" s="66">
        <v>62811</v>
      </c>
      <c r="F6" s="66">
        <v>101212</v>
      </c>
      <c r="G6" s="52">
        <f aca="true" t="shared" si="1" ref="G6:G15">E6/F6*100-100</f>
        <v>-37.941153222938</v>
      </c>
      <c r="H6" s="65">
        <v>21296</v>
      </c>
      <c r="I6" s="65">
        <v>35532</v>
      </c>
      <c r="J6" s="52">
        <f aca="true" t="shared" si="2" ref="J6:J11">H6/I6*100-100</f>
        <v>-40.06529325678262</v>
      </c>
      <c r="K6" s="21">
        <f aca="true" t="shared" si="3" ref="K6:L9">B6+E6+H6</f>
        <v>114354.822043</v>
      </c>
      <c r="L6" s="21">
        <f t="shared" si="3"/>
        <v>182312.396787</v>
      </c>
      <c r="M6">
        <f aca="true" t="shared" si="4" ref="M6:M9">K6/L6*100-100</f>
        <v>-37.27534492533522</v>
      </c>
      <c r="N6">
        <v>11298220.43</v>
      </c>
      <c r="O6">
        <v>11293967.870000001</v>
      </c>
      <c r="Q6">
        <f>N6/10000</f>
        <v>1129.822043</v>
      </c>
      <c r="R6">
        <f>O6/10000</f>
        <v>1129.3967870000001</v>
      </c>
      <c r="S6" s="21">
        <f>B6+Q6</f>
        <v>31377.644086</v>
      </c>
      <c r="T6" s="21">
        <f>C6+R6</f>
        <v>46697.793573999996</v>
      </c>
      <c r="U6" s="21">
        <f aca="true" t="shared" si="5" ref="U6:V9">B6+E6+H6</f>
        <v>114354.822043</v>
      </c>
      <c r="V6" s="21">
        <f t="shared" si="5"/>
        <v>182312.396787</v>
      </c>
      <c r="W6">
        <f aca="true" t="shared" si="6" ref="W6:W9">U6/V6*100-100</f>
        <v>-37.27534492533522</v>
      </c>
    </row>
    <row r="7" spans="1:23" ht="16.5" customHeight="1">
      <c r="A7" s="64" t="s">
        <v>1505</v>
      </c>
      <c r="B7" s="65">
        <v>24468.649644</v>
      </c>
      <c r="C7" s="65">
        <v>37091.065002</v>
      </c>
      <c r="D7" s="52">
        <f t="shared" si="0"/>
        <v>-34.03087875023104</v>
      </c>
      <c r="E7" s="66">
        <v>49564</v>
      </c>
      <c r="F7" s="66">
        <v>84604</v>
      </c>
      <c r="G7" s="52">
        <f t="shared" si="1"/>
        <v>-41.41648149023687</v>
      </c>
      <c r="H7" s="65">
        <v>12783</v>
      </c>
      <c r="I7" s="65">
        <v>24969</v>
      </c>
      <c r="J7" s="52">
        <f t="shared" si="2"/>
        <v>-48.80451760182627</v>
      </c>
      <c r="K7" s="21">
        <f t="shared" si="3"/>
        <v>86815.649644</v>
      </c>
      <c r="L7" s="21">
        <f t="shared" si="3"/>
        <v>146664.06500200002</v>
      </c>
      <c r="M7">
        <f t="shared" si="4"/>
        <v>-40.80646159451797</v>
      </c>
      <c r="N7">
        <v>4526496.44</v>
      </c>
      <c r="O7">
        <v>3580650.02</v>
      </c>
      <c r="Q7">
        <f aca="true" t="shared" si="7" ref="Q7:Q41">N7/10000</f>
        <v>452.649644</v>
      </c>
      <c r="R7">
        <f aca="true" t="shared" si="8" ref="R7:R41">O7/10000</f>
        <v>358.065002</v>
      </c>
      <c r="S7" s="21">
        <f aca="true" t="shared" si="9" ref="S7:S41">B7+Q7</f>
        <v>24921.299288000002</v>
      </c>
      <c r="T7" s="21">
        <f aca="true" t="shared" si="10" ref="T7:T41">C7+R7</f>
        <v>37449.130004000006</v>
      </c>
      <c r="U7" s="21">
        <f t="shared" si="5"/>
        <v>86815.649644</v>
      </c>
      <c r="V7" s="21">
        <f t="shared" si="5"/>
        <v>146664.06500200002</v>
      </c>
      <c r="W7">
        <f t="shared" si="6"/>
        <v>-40.80646159451797</v>
      </c>
    </row>
    <row r="8" spans="1:23" ht="16.5" customHeight="1">
      <c r="A8" s="50" t="s">
        <v>1507</v>
      </c>
      <c r="B8" s="65">
        <v>3887.7380000000003</v>
      </c>
      <c r="C8" s="65">
        <v>3613.285</v>
      </c>
      <c r="D8" s="52">
        <f t="shared" si="0"/>
        <v>7.5956643331483775</v>
      </c>
      <c r="E8" s="66">
        <v>10379</v>
      </c>
      <c r="F8" s="66">
        <v>9314</v>
      </c>
      <c r="G8" s="52">
        <f t="shared" si="1"/>
        <v>11.43439982821559</v>
      </c>
      <c r="H8" s="65">
        <v>6180</v>
      </c>
      <c r="I8" s="65">
        <v>5336</v>
      </c>
      <c r="J8" s="52">
        <f t="shared" si="2"/>
        <v>15.817091454272855</v>
      </c>
      <c r="K8" s="21">
        <f t="shared" si="3"/>
        <v>20446.738</v>
      </c>
      <c r="L8" s="21">
        <f t="shared" si="3"/>
        <v>18263.285</v>
      </c>
      <c r="M8">
        <f t="shared" si="4"/>
        <v>11.95542313444706</v>
      </c>
      <c r="N8">
        <v>6437380</v>
      </c>
      <c r="O8">
        <v>7322850</v>
      </c>
      <c r="Q8">
        <f t="shared" si="7"/>
        <v>643.738</v>
      </c>
      <c r="R8">
        <f t="shared" si="8"/>
        <v>732.285</v>
      </c>
      <c r="S8" s="21">
        <f t="shared" si="9"/>
        <v>4531.476000000001</v>
      </c>
      <c r="T8" s="21">
        <f t="shared" si="10"/>
        <v>4345.57</v>
      </c>
      <c r="U8" s="21">
        <f t="shared" si="5"/>
        <v>20446.738</v>
      </c>
      <c r="V8" s="21">
        <f t="shared" si="5"/>
        <v>18263.285</v>
      </c>
      <c r="W8">
        <f t="shared" si="6"/>
        <v>11.95542313444706</v>
      </c>
    </row>
    <row r="9" spans="1:23" ht="16.5" customHeight="1">
      <c r="A9" s="50" t="s">
        <v>1509</v>
      </c>
      <c r="B9" s="65">
        <v>1606.434399</v>
      </c>
      <c r="C9" s="65">
        <v>1530.030871</v>
      </c>
      <c r="D9" s="52">
        <f t="shared" si="0"/>
        <v>4.993593884158969</v>
      </c>
      <c r="E9" s="66">
        <v>2542</v>
      </c>
      <c r="F9" s="66">
        <v>1838</v>
      </c>
      <c r="G9" s="52">
        <f t="shared" si="1"/>
        <v>38.3025027203482</v>
      </c>
      <c r="H9" s="65">
        <v>2315</v>
      </c>
      <c r="I9" s="65">
        <v>1058</v>
      </c>
      <c r="J9" s="52">
        <f t="shared" si="2"/>
        <v>118.80907372400756</v>
      </c>
      <c r="K9" s="21">
        <f t="shared" si="3"/>
        <v>6463.434399</v>
      </c>
      <c r="L9" s="21">
        <f t="shared" si="3"/>
        <v>4426.030871</v>
      </c>
      <c r="M9">
        <f t="shared" si="4"/>
        <v>46.03229365952609</v>
      </c>
      <c r="N9">
        <v>334343.99</v>
      </c>
      <c r="O9">
        <v>360308.71</v>
      </c>
      <c r="Q9">
        <f t="shared" si="7"/>
        <v>33.434399</v>
      </c>
      <c r="R9">
        <f t="shared" si="8"/>
        <v>36.030871000000005</v>
      </c>
      <c r="S9" s="21">
        <f t="shared" si="9"/>
        <v>1639.868798</v>
      </c>
      <c r="T9" s="21">
        <f t="shared" si="10"/>
        <v>1566.0617419999999</v>
      </c>
      <c r="U9" s="21">
        <f t="shared" si="5"/>
        <v>6463.434399</v>
      </c>
      <c r="V9" s="21">
        <f t="shared" si="5"/>
        <v>4426.030871</v>
      </c>
      <c r="W9">
        <f t="shared" si="6"/>
        <v>46.03229365952609</v>
      </c>
    </row>
    <row r="10" spans="1:20" ht="16.5" customHeight="1">
      <c r="A10" s="50" t="s">
        <v>1511</v>
      </c>
      <c r="B10" s="67">
        <v>20416.475768</v>
      </c>
      <c r="C10" s="67">
        <v>31365.352087</v>
      </c>
      <c r="D10" s="52">
        <f t="shared" si="0"/>
        <v>-34.907551136778025</v>
      </c>
      <c r="E10" s="66">
        <v>43547</v>
      </c>
      <c r="F10" s="66">
        <v>78565</v>
      </c>
      <c r="G10" s="52">
        <f t="shared" si="1"/>
        <v>-44.57201043721759</v>
      </c>
      <c r="H10" s="65">
        <v>10666</v>
      </c>
      <c r="I10" s="65">
        <v>20934</v>
      </c>
      <c r="J10" s="52">
        <f t="shared" si="2"/>
        <v>-49.049393331422564</v>
      </c>
      <c r="N10">
        <v>2214757.68</v>
      </c>
      <c r="O10">
        <v>1793520.87</v>
      </c>
      <c r="Q10">
        <f t="shared" si="7"/>
        <v>221.47576800000002</v>
      </c>
      <c r="R10">
        <f t="shared" si="8"/>
        <v>179.352087</v>
      </c>
      <c r="S10" s="21">
        <f t="shared" si="9"/>
        <v>20637.951536</v>
      </c>
      <c r="T10" s="21">
        <f t="shared" si="10"/>
        <v>31544.704174</v>
      </c>
    </row>
    <row r="11" spans="1:20" ht="16.5" customHeight="1">
      <c r="A11" s="50" t="s">
        <v>1505</v>
      </c>
      <c r="B11" s="67">
        <v>18582.802044</v>
      </c>
      <c r="C11" s="67">
        <v>29596.569002</v>
      </c>
      <c r="D11" s="52">
        <f t="shared" si="0"/>
        <v>-37.212985590511316</v>
      </c>
      <c r="E11" s="66">
        <v>40162</v>
      </c>
      <c r="F11" s="66">
        <v>76114</v>
      </c>
      <c r="G11" s="52">
        <f t="shared" si="1"/>
        <v>-47.234411540583864</v>
      </c>
      <c r="H11" s="65">
        <v>8403</v>
      </c>
      <c r="I11" s="65">
        <v>19921</v>
      </c>
      <c r="J11" s="52">
        <f t="shared" si="2"/>
        <v>-57.818382611314696</v>
      </c>
      <c r="N11">
        <v>2048020.44</v>
      </c>
      <c r="O11">
        <v>1425690.02</v>
      </c>
      <c r="Q11">
        <f t="shared" si="7"/>
        <v>204.802044</v>
      </c>
      <c r="R11">
        <f t="shared" si="8"/>
        <v>142.569002</v>
      </c>
      <c r="S11" s="21">
        <f t="shared" si="9"/>
        <v>18787.604088</v>
      </c>
      <c r="T11" s="21">
        <f t="shared" si="10"/>
        <v>29739.138004</v>
      </c>
    </row>
    <row r="12" spans="1:20" ht="16.5" customHeight="1">
      <c r="A12" s="50" t="s">
        <v>1507</v>
      </c>
      <c r="B12" s="67">
        <v>0</v>
      </c>
      <c r="C12" s="67">
        <v>0</v>
      </c>
      <c r="D12" s="52" t="s">
        <v>1513</v>
      </c>
      <c r="E12" s="66">
        <v>700</v>
      </c>
      <c r="F12" s="66">
        <v>600</v>
      </c>
      <c r="G12" s="52">
        <f t="shared" si="1"/>
        <v>16.66666666666667</v>
      </c>
      <c r="H12" s="65"/>
      <c r="I12" s="65"/>
      <c r="J12" s="52" t="s">
        <v>1513</v>
      </c>
      <c r="Q12">
        <f t="shared" si="7"/>
        <v>0</v>
      </c>
      <c r="R12">
        <f t="shared" si="8"/>
        <v>0</v>
      </c>
      <c r="S12" s="21">
        <f t="shared" si="9"/>
        <v>0</v>
      </c>
      <c r="T12" s="21">
        <f t="shared" si="10"/>
        <v>0</v>
      </c>
    </row>
    <row r="13" spans="1:20" ht="16.5" customHeight="1">
      <c r="A13" s="50" t="s">
        <v>1509</v>
      </c>
      <c r="B13" s="67">
        <v>1548.673724</v>
      </c>
      <c r="C13" s="67">
        <v>1493.767171</v>
      </c>
      <c r="D13" s="52">
        <f aca="true" t="shared" si="11" ref="D13:D16">B13/C13*100-100</f>
        <v>3.675710248956875</v>
      </c>
      <c r="E13" s="66">
        <v>2365</v>
      </c>
      <c r="F13" s="66">
        <v>1540</v>
      </c>
      <c r="G13" s="52">
        <f t="shared" si="1"/>
        <v>53.571428571428584</v>
      </c>
      <c r="H13" s="65">
        <v>2245</v>
      </c>
      <c r="I13" s="65">
        <v>995</v>
      </c>
      <c r="J13" s="52">
        <f>H13/I13*100-100</f>
        <v>125.62814070351757</v>
      </c>
      <c r="N13">
        <v>166737.24</v>
      </c>
      <c r="O13">
        <v>337671.71</v>
      </c>
      <c r="Q13">
        <f t="shared" si="7"/>
        <v>16.673724</v>
      </c>
      <c r="R13">
        <f t="shared" si="8"/>
        <v>33.767171000000005</v>
      </c>
      <c r="S13" s="21">
        <f t="shared" si="9"/>
        <v>1565.347448</v>
      </c>
      <c r="T13" s="21">
        <f t="shared" si="10"/>
        <v>1527.534342</v>
      </c>
    </row>
    <row r="14" spans="1:20" ht="16.5" customHeight="1">
      <c r="A14" s="50" t="s">
        <v>1512</v>
      </c>
      <c r="B14" s="67">
        <v>2100</v>
      </c>
      <c r="C14" s="67">
        <v>4577</v>
      </c>
      <c r="D14" s="52">
        <f t="shared" si="11"/>
        <v>-54.118418177845754</v>
      </c>
      <c r="E14" s="66">
        <v>3474</v>
      </c>
      <c r="F14" s="66">
        <v>3101</v>
      </c>
      <c r="G14" s="52">
        <f t="shared" si="1"/>
        <v>12.028377942599164</v>
      </c>
      <c r="H14" s="65">
        <v>1294</v>
      </c>
      <c r="I14" s="65">
        <v>2500</v>
      </c>
      <c r="J14" s="52"/>
      <c r="Q14">
        <f t="shared" si="7"/>
        <v>0</v>
      </c>
      <c r="R14">
        <f t="shared" si="8"/>
        <v>0</v>
      </c>
      <c r="S14" s="21">
        <f t="shared" si="9"/>
        <v>2100</v>
      </c>
      <c r="T14" s="21">
        <f t="shared" si="10"/>
        <v>4577</v>
      </c>
    </row>
    <row r="15" spans="1:20" ht="16.5" customHeight="1">
      <c r="A15" s="50" t="s">
        <v>1505</v>
      </c>
      <c r="B15" s="67">
        <v>2016</v>
      </c>
      <c r="C15" s="67">
        <v>4536</v>
      </c>
      <c r="D15" s="52">
        <f t="shared" si="11"/>
        <v>-55.55555555555556</v>
      </c>
      <c r="E15" s="66">
        <v>3305</v>
      </c>
      <c r="F15" s="66">
        <v>3005</v>
      </c>
      <c r="G15" s="52">
        <f t="shared" si="1"/>
        <v>9.983361064891838</v>
      </c>
      <c r="H15" s="65">
        <v>1214</v>
      </c>
      <c r="I15" s="65">
        <v>2460</v>
      </c>
      <c r="J15" s="52"/>
      <c r="Q15">
        <f t="shared" si="7"/>
        <v>0</v>
      </c>
      <c r="R15">
        <f t="shared" si="8"/>
        <v>0</v>
      </c>
      <c r="S15" s="21">
        <f t="shared" si="9"/>
        <v>2016</v>
      </c>
      <c r="T15" s="21">
        <f t="shared" si="10"/>
        <v>4536</v>
      </c>
    </row>
    <row r="16" spans="1:20" ht="16.5" customHeight="1">
      <c r="A16" s="50" t="s">
        <v>1507</v>
      </c>
      <c r="B16" s="67">
        <v>79</v>
      </c>
      <c r="C16" s="67">
        <v>41</v>
      </c>
      <c r="D16" s="52">
        <f t="shared" si="11"/>
        <v>92.6829268292683</v>
      </c>
      <c r="E16" s="66">
        <v>142</v>
      </c>
      <c r="F16" s="66">
        <v>76</v>
      </c>
      <c r="G16" s="52"/>
      <c r="H16" s="65">
        <v>76</v>
      </c>
      <c r="I16" s="65">
        <v>39</v>
      </c>
      <c r="J16" s="52"/>
      <c r="Q16">
        <f t="shared" si="7"/>
        <v>0</v>
      </c>
      <c r="R16">
        <f t="shared" si="8"/>
        <v>0</v>
      </c>
      <c r="S16" s="21">
        <f t="shared" si="9"/>
        <v>79</v>
      </c>
      <c r="T16" s="21">
        <f t="shared" si="10"/>
        <v>41</v>
      </c>
    </row>
    <row r="17" spans="1:20" ht="16.5" customHeight="1">
      <c r="A17" s="50" t="s">
        <v>1509</v>
      </c>
      <c r="B17" s="67">
        <v>5</v>
      </c>
      <c r="C17" s="67">
        <v>0</v>
      </c>
      <c r="D17" s="52" t="s">
        <v>1513</v>
      </c>
      <c r="E17" s="66">
        <v>27</v>
      </c>
      <c r="F17" s="66">
        <v>20</v>
      </c>
      <c r="G17" s="52">
        <f>E17/F17*100-100</f>
        <v>35</v>
      </c>
      <c r="H17" s="65">
        <v>4</v>
      </c>
      <c r="I17" s="65">
        <v>1</v>
      </c>
      <c r="J17" s="52"/>
      <c r="Q17">
        <f t="shared" si="7"/>
        <v>0</v>
      </c>
      <c r="R17">
        <f t="shared" si="8"/>
        <v>0</v>
      </c>
      <c r="S17" s="21">
        <f t="shared" si="9"/>
        <v>5</v>
      </c>
      <c r="T17" s="21">
        <f t="shared" si="10"/>
        <v>0</v>
      </c>
    </row>
    <row r="18" spans="1:20" ht="16.5" customHeight="1">
      <c r="A18" s="50" t="s">
        <v>1520</v>
      </c>
      <c r="B18" s="67">
        <v>273</v>
      </c>
      <c r="C18" s="67">
        <v>346</v>
      </c>
      <c r="D18" s="52">
        <f aca="true" t="shared" si="12" ref="D18:D23">B18/C18*100-100</f>
        <v>-21.09826589595376</v>
      </c>
      <c r="E18" s="66">
        <v>612</v>
      </c>
      <c r="F18" s="66">
        <v>713</v>
      </c>
      <c r="G18" s="52"/>
      <c r="H18" s="65"/>
      <c r="I18" s="65"/>
      <c r="J18" s="52" t="s">
        <v>1513</v>
      </c>
      <c r="Q18">
        <f t="shared" si="7"/>
        <v>0</v>
      </c>
      <c r="R18">
        <f t="shared" si="8"/>
        <v>0</v>
      </c>
      <c r="S18" s="21">
        <f t="shared" si="9"/>
        <v>273</v>
      </c>
      <c r="T18" s="21">
        <f t="shared" si="10"/>
        <v>346</v>
      </c>
    </row>
    <row r="19" spans="1:20" ht="16.5" customHeight="1">
      <c r="A19" s="50" t="s">
        <v>1505</v>
      </c>
      <c r="B19" s="67">
        <v>260</v>
      </c>
      <c r="C19" s="67">
        <v>329</v>
      </c>
      <c r="D19" s="52">
        <f t="shared" si="12"/>
        <v>-20.972644376899694</v>
      </c>
      <c r="E19" s="66">
        <v>509</v>
      </c>
      <c r="F19" s="66">
        <v>610</v>
      </c>
      <c r="G19" s="52"/>
      <c r="H19" s="65">
        <v>0</v>
      </c>
      <c r="I19" s="65">
        <v>0</v>
      </c>
      <c r="J19" s="52" t="s">
        <v>1513</v>
      </c>
      <c r="Q19">
        <f t="shared" si="7"/>
        <v>0</v>
      </c>
      <c r="R19">
        <f t="shared" si="8"/>
        <v>0</v>
      </c>
      <c r="S19" s="21">
        <f t="shared" si="9"/>
        <v>260</v>
      </c>
      <c r="T19" s="21">
        <f t="shared" si="10"/>
        <v>329</v>
      </c>
    </row>
    <row r="20" spans="1:20" ht="16.5" customHeight="1">
      <c r="A20" s="50" t="s">
        <v>1507</v>
      </c>
      <c r="B20" s="67">
        <v>0</v>
      </c>
      <c r="C20" s="67">
        <v>0</v>
      </c>
      <c r="D20" s="52" t="s">
        <v>1513</v>
      </c>
      <c r="E20" s="66"/>
      <c r="F20" s="66"/>
      <c r="G20" s="52"/>
      <c r="H20" s="65"/>
      <c r="I20" s="65"/>
      <c r="J20" s="52"/>
      <c r="Q20">
        <f t="shared" si="7"/>
        <v>0</v>
      </c>
      <c r="R20">
        <f t="shared" si="8"/>
        <v>0</v>
      </c>
      <c r="S20" s="21">
        <f t="shared" si="9"/>
        <v>0</v>
      </c>
      <c r="T20" s="21">
        <f t="shared" si="10"/>
        <v>0</v>
      </c>
    </row>
    <row r="21" spans="1:20" ht="16.5" customHeight="1">
      <c r="A21" s="50" t="s">
        <v>1509</v>
      </c>
      <c r="B21" s="67">
        <v>13</v>
      </c>
      <c r="C21" s="67">
        <v>12</v>
      </c>
      <c r="D21" s="52">
        <f t="shared" si="12"/>
        <v>8.333333333333329</v>
      </c>
      <c r="E21" s="66">
        <v>97</v>
      </c>
      <c r="F21" s="66">
        <v>97</v>
      </c>
      <c r="G21" s="52"/>
      <c r="H21" s="65"/>
      <c r="I21" s="65"/>
      <c r="J21" s="52"/>
      <c r="Q21">
        <f t="shared" si="7"/>
        <v>0</v>
      </c>
      <c r="R21">
        <f t="shared" si="8"/>
        <v>0</v>
      </c>
      <c r="S21" s="21">
        <f t="shared" si="9"/>
        <v>13</v>
      </c>
      <c r="T21" s="21">
        <f t="shared" si="10"/>
        <v>12</v>
      </c>
    </row>
    <row r="22" spans="1:20" ht="16.5" customHeight="1">
      <c r="A22" s="50" t="s">
        <v>1525</v>
      </c>
      <c r="B22" s="67">
        <v>1084</v>
      </c>
      <c r="C22" s="67">
        <v>542</v>
      </c>
      <c r="D22" s="52">
        <f t="shared" si="12"/>
        <v>100</v>
      </c>
      <c r="E22" s="66">
        <v>993</v>
      </c>
      <c r="F22" s="66">
        <v>902</v>
      </c>
      <c r="G22" s="52">
        <f aca="true" t="shared" si="13" ref="G22:G27">E22/F22*100-100</f>
        <v>10.08869179600886</v>
      </c>
      <c r="H22" s="65">
        <v>932</v>
      </c>
      <c r="I22" s="65">
        <v>810</v>
      </c>
      <c r="J22" s="52">
        <f aca="true" t="shared" si="14" ref="J22:J25">H22/I22*100-100</f>
        <v>15.06172839506172</v>
      </c>
      <c r="Q22">
        <f t="shared" si="7"/>
        <v>0</v>
      </c>
      <c r="R22">
        <f t="shared" si="8"/>
        <v>0</v>
      </c>
      <c r="S22" s="21">
        <f t="shared" si="9"/>
        <v>1084</v>
      </c>
      <c r="T22" s="21">
        <f t="shared" si="10"/>
        <v>542</v>
      </c>
    </row>
    <row r="23" spans="1:20" ht="16.5" customHeight="1">
      <c r="A23" s="50" t="s">
        <v>1505</v>
      </c>
      <c r="B23" s="67">
        <v>1084</v>
      </c>
      <c r="C23" s="67">
        <v>542</v>
      </c>
      <c r="D23" s="52">
        <f t="shared" si="12"/>
        <v>100</v>
      </c>
      <c r="E23" s="66">
        <v>990</v>
      </c>
      <c r="F23" s="66">
        <v>900</v>
      </c>
      <c r="G23" s="52">
        <f t="shared" si="13"/>
        <v>10.000000000000014</v>
      </c>
      <c r="H23" s="65">
        <v>931</v>
      </c>
      <c r="I23" s="65">
        <v>810</v>
      </c>
      <c r="J23" s="52">
        <f t="shared" si="14"/>
        <v>14.93827160493828</v>
      </c>
      <c r="Q23">
        <f t="shared" si="7"/>
        <v>0</v>
      </c>
      <c r="R23">
        <f t="shared" si="8"/>
        <v>0</v>
      </c>
      <c r="S23" s="21">
        <f t="shared" si="9"/>
        <v>1084</v>
      </c>
      <c r="T23" s="21">
        <f t="shared" si="10"/>
        <v>542</v>
      </c>
    </row>
    <row r="24" spans="1:20" ht="16.5" customHeight="1">
      <c r="A24" s="50" t="s">
        <v>1507</v>
      </c>
      <c r="B24" s="67">
        <v>0</v>
      </c>
      <c r="C24" s="67">
        <v>0</v>
      </c>
      <c r="D24" s="52" t="s">
        <v>1513</v>
      </c>
      <c r="E24" s="66"/>
      <c r="F24" s="66"/>
      <c r="G24" s="52"/>
      <c r="H24" s="65"/>
      <c r="I24" s="65"/>
      <c r="J24" s="52"/>
      <c r="Q24">
        <f t="shared" si="7"/>
        <v>0</v>
      </c>
      <c r="R24">
        <f t="shared" si="8"/>
        <v>0</v>
      </c>
      <c r="S24" s="21">
        <f t="shared" si="9"/>
        <v>0</v>
      </c>
      <c r="T24" s="21">
        <f t="shared" si="10"/>
        <v>0</v>
      </c>
    </row>
    <row r="25" spans="1:20" ht="16.5" customHeight="1">
      <c r="A25" s="50" t="s">
        <v>1509</v>
      </c>
      <c r="B25" s="67">
        <v>0</v>
      </c>
      <c r="C25" s="67">
        <v>0</v>
      </c>
      <c r="D25" s="52" t="s">
        <v>1513</v>
      </c>
      <c r="E25" s="66">
        <v>3</v>
      </c>
      <c r="F25" s="66">
        <v>2</v>
      </c>
      <c r="G25" s="52">
        <f t="shared" si="13"/>
        <v>50</v>
      </c>
      <c r="H25" s="65">
        <v>1</v>
      </c>
      <c r="I25" s="65">
        <v>1</v>
      </c>
      <c r="J25" s="52">
        <f t="shared" si="14"/>
        <v>0</v>
      </c>
      <c r="Q25">
        <f t="shared" si="7"/>
        <v>0</v>
      </c>
      <c r="R25">
        <f t="shared" si="8"/>
        <v>0</v>
      </c>
      <c r="S25" s="21">
        <f t="shared" si="9"/>
        <v>0</v>
      </c>
      <c r="T25" s="21">
        <f t="shared" si="10"/>
        <v>0</v>
      </c>
    </row>
    <row r="26" spans="1:20" ht="16.5" customHeight="1">
      <c r="A26" s="50" t="s">
        <v>1528</v>
      </c>
      <c r="B26" s="67">
        <v>1222</v>
      </c>
      <c r="C26" s="67">
        <v>1153</v>
      </c>
      <c r="D26" s="52">
        <f aca="true" t="shared" si="15" ref="D26:D31">B26/C26*100-100</f>
        <v>5.984388551604496</v>
      </c>
      <c r="E26" s="66">
        <v>1021</v>
      </c>
      <c r="F26" s="66">
        <v>990</v>
      </c>
      <c r="G26" s="52">
        <f t="shared" si="13"/>
        <v>3.131313131313135</v>
      </c>
      <c r="H26" s="65">
        <v>40</v>
      </c>
      <c r="I26" s="65">
        <v>35</v>
      </c>
      <c r="J26" s="52"/>
      <c r="Q26">
        <f t="shared" si="7"/>
        <v>0</v>
      </c>
      <c r="R26">
        <f t="shared" si="8"/>
        <v>0</v>
      </c>
      <c r="S26" s="21">
        <f t="shared" si="9"/>
        <v>1222</v>
      </c>
      <c r="T26" s="21">
        <f t="shared" si="10"/>
        <v>1153</v>
      </c>
    </row>
    <row r="27" spans="1:20" ht="16.5" customHeight="1">
      <c r="A27" s="50" t="s">
        <v>1505</v>
      </c>
      <c r="B27" s="67">
        <v>1209</v>
      </c>
      <c r="C27" s="67">
        <v>1140</v>
      </c>
      <c r="D27" s="52">
        <f t="shared" si="15"/>
        <v>6.05263157894737</v>
      </c>
      <c r="E27" s="66">
        <v>1013</v>
      </c>
      <c r="F27" s="66">
        <v>984</v>
      </c>
      <c r="G27" s="52">
        <f t="shared" si="13"/>
        <v>2.947154471544721</v>
      </c>
      <c r="H27" s="65">
        <v>37</v>
      </c>
      <c r="I27" s="65">
        <v>33</v>
      </c>
      <c r="J27" s="52"/>
      <c r="Q27">
        <f t="shared" si="7"/>
        <v>0</v>
      </c>
      <c r="R27">
        <f t="shared" si="8"/>
        <v>0</v>
      </c>
      <c r="S27" s="21">
        <f t="shared" si="9"/>
        <v>1209</v>
      </c>
      <c r="T27" s="21">
        <f t="shared" si="10"/>
        <v>1140</v>
      </c>
    </row>
    <row r="28" spans="1:20" ht="16.5" customHeight="1">
      <c r="A28" s="50" t="s">
        <v>1507</v>
      </c>
      <c r="B28" s="67">
        <v>0</v>
      </c>
      <c r="C28" s="67">
        <v>0</v>
      </c>
      <c r="D28" s="52"/>
      <c r="E28" s="66"/>
      <c r="F28" s="66"/>
      <c r="G28" s="52"/>
      <c r="H28" s="65"/>
      <c r="I28" s="65"/>
      <c r="J28" s="52"/>
      <c r="Q28">
        <f t="shared" si="7"/>
        <v>0</v>
      </c>
      <c r="R28">
        <f t="shared" si="8"/>
        <v>0</v>
      </c>
      <c r="S28" s="21">
        <f t="shared" si="9"/>
        <v>0</v>
      </c>
      <c r="T28" s="21">
        <f t="shared" si="10"/>
        <v>0</v>
      </c>
    </row>
    <row r="29" spans="1:20" ht="16.5" customHeight="1">
      <c r="A29" s="50" t="s">
        <v>1509</v>
      </c>
      <c r="B29" s="67">
        <v>13</v>
      </c>
      <c r="C29" s="67">
        <v>13</v>
      </c>
      <c r="D29" s="52">
        <f t="shared" si="15"/>
        <v>0</v>
      </c>
      <c r="E29" s="66">
        <v>8</v>
      </c>
      <c r="F29" s="66">
        <v>6</v>
      </c>
      <c r="G29" s="52">
        <f>E29/F29*100-100</f>
        <v>33.333333333333314</v>
      </c>
      <c r="H29" s="65">
        <v>3</v>
      </c>
      <c r="I29" s="65">
        <v>2</v>
      </c>
      <c r="J29" s="52"/>
      <c r="Q29">
        <f t="shared" si="7"/>
        <v>0</v>
      </c>
      <c r="R29">
        <f t="shared" si="8"/>
        <v>0</v>
      </c>
      <c r="S29" s="21">
        <f t="shared" si="9"/>
        <v>13</v>
      </c>
      <c r="T29" s="21">
        <f t="shared" si="10"/>
        <v>13</v>
      </c>
    </row>
    <row r="30" spans="1:20" ht="16.5" customHeight="1">
      <c r="A30" s="50" t="s">
        <v>1529</v>
      </c>
      <c r="B30" s="67">
        <v>82</v>
      </c>
      <c r="C30" s="67">
        <v>76</v>
      </c>
      <c r="D30" s="52">
        <f t="shared" si="15"/>
        <v>7.89473684210526</v>
      </c>
      <c r="E30" s="66">
        <v>182</v>
      </c>
      <c r="F30" s="66">
        <v>173</v>
      </c>
      <c r="G30" s="52"/>
      <c r="H30" s="65"/>
      <c r="I30" s="65"/>
      <c r="J30" s="52"/>
      <c r="Q30">
        <f t="shared" si="7"/>
        <v>0</v>
      </c>
      <c r="R30">
        <f t="shared" si="8"/>
        <v>0</v>
      </c>
      <c r="S30" s="21">
        <f t="shared" si="9"/>
        <v>82</v>
      </c>
      <c r="T30" s="21">
        <f t="shared" si="10"/>
        <v>76</v>
      </c>
    </row>
    <row r="31" spans="1:20" ht="16.5" customHeight="1">
      <c r="A31" s="50" t="s">
        <v>1505</v>
      </c>
      <c r="B31" s="67">
        <v>79</v>
      </c>
      <c r="C31" s="67">
        <v>73</v>
      </c>
      <c r="D31" s="52">
        <f t="shared" si="15"/>
        <v>8.219178082191789</v>
      </c>
      <c r="E31" s="66">
        <v>178</v>
      </c>
      <c r="F31" s="66">
        <v>170</v>
      </c>
      <c r="G31" s="52"/>
      <c r="H31" s="65"/>
      <c r="I31" s="65"/>
      <c r="J31" s="52"/>
      <c r="Q31">
        <f t="shared" si="7"/>
        <v>0</v>
      </c>
      <c r="R31">
        <f t="shared" si="8"/>
        <v>0</v>
      </c>
      <c r="S31" s="21">
        <f t="shared" si="9"/>
        <v>79</v>
      </c>
      <c r="T31" s="21">
        <f t="shared" si="10"/>
        <v>73</v>
      </c>
    </row>
    <row r="32" spans="1:20" ht="16.5" customHeight="1">
      <c r="A32" s="50" t="s">
        <v>1507</v>
      </c>
      <c r="B32" s="67">
        <v>0</v>
      </c>
      <c r="C32" s="67">
        <v>0</v>
      </c>
      <c r="D32" s="52" t="s">
        <v>1513</v>
      </c>
      <c r="E32" s="66"/>
      <c r="F32" s="66"/>
      <c r="G32" s="52"/>
      <c r="H32" s="65"/>
      <c r="I32" s="65"/>
      <c r="J32" s="52"/>
      <c r="Q32">
        <f t="shared" si="7"/>
        <v>0</v>
      </c>
      <c r="R32">
        <f t="shared" si="8"/>
        <v>0</v>
      </c>
      <c r="S32" s="21">
        <f t="shared" si="9"/>
        <v>0</v>
      </c>
      <c r="T32" s="21">
        <f t="shared" si="10"/>
        <v>0</v>
      </c>
    </row>
    <row r="33" spans="1:20" ht="16.5" customHeight="1">
      <c r="A33" s="50" t="s">
        <v>1509</v>
      </c>
      <c r="B33" s="67">
        <v>3</v>
      </c>
      <c r="C33" s="67">
        <v>3</v>
      </c>
      <c r="D33" s="52">
        <f>B33/C33*100-100</f>
        <v>0</v>
      </c>
      <c r="E33" s="66">
        <v>4</v>
      </c>
      <c r="F33" s="66">
        <v>3</v>
      </c>
      <c r="G33" s="52"/>
      <c r="H33" s="65"/>
      <c r="I33" s="65"/>
      <c r="J33" s="52"/>
      <c r="Q33">
        <f t="shared" si="7"/>
        <v>0</v>
      </c>
      <c r="R33">
        <f t="shared" si="8"/>
        <v>0</v>
      </c>
      <c r="S33" s="21">
        <f t="shared" si="9"/>
        <v>3</v>
      </c>
      <c r="T33" s="21">
        <f t="shared" si="10"/>
        <v>3</v>
      </c>
    </row>
    <row r="34" spans="1:20" ht="16.5" customHeight="1">
      <c r="A34" s="50" t="s">
        <v>1530</v>
      </c>
      <c r="B34" s="67">
        <v>0</v>
      </c>
      <c r="C34" s="67">
        <v>0</v>
      </c>
      <c r="D34" s="52" t="s">
        <v>1513</v>
      </c>
      <c r="E34" s="66"/>
      <c r="F34" s="66"/>
      <c r="G34" s="52" t="s">
        <v>1513</v>
      </c>
      <c r="H34" s="65"/>
      <c r="I34" s="65"/>
      <c r="J34" s="52" t="s">
        <v>1513</v>
      </c>
      <c r="Q34">
        <f t="shared" si="7"/>
        <v>0</v>
      </c>
      <c r="R34">
        <f t="shared" si="8"/>
        <v>0</v>
      </c>
      <c r="S34" s="21">
        <f t="shared" si="9"/>
        <v>0</v>
      </c>
      <c r="T34" s="21">
        <f t="shared" si="10"/>
        <v>0</v>
      </c>
    </row>
    <row r="35" spans="1:20" ht="16.5" customHeight="1">
      <c r="A35" s="50" t="s">
        <v>1505</v>
      </c>
      <c r="B35" s="67">
        <v>0</v>
      </c>
      <c r="C35" s="67">
        <v>0</v>
      </c>
      <c r="D35" s="52" t="s">
        <v>1513</v>
      </c>
      <c r="E35" s="66"/>
      <c r="F35" s="66"/>
      <c r="G35" s="52" t="s">
        <v>1513</v>
      </c>
      <c r="H35" s="65"/>
      <c r="I35" s="65"/>
      <c r="J35" s="52" t="s">
        <v>1513</v>
      </c>
      <c r="Q35">
        <f t="shared" si="7"/>
        <v>0</v>
      </c>
      <c r="R35">
        <f t="shared" si="8"/>
        <v>0</v>
      </c>
      <c r="S35" s="21">
        <f t="shared" si="9"/>
        <v>0</v>
      </c>
      <c r="T35" s="21">
        <f t="shared" si="10"/>
        <v>0</v>
      </c>
    </row>
    <row r="36" spans="1:20" ht="16.5" customHeight="1">
      <c r="A36" s="50" t="s">
        <v>1507</v>
      </c>
      <c r="B36" s="67">
        <v>0</v>
      </c>
      <c r="C36" s="67">
        <v>0</v>
      </c>
      <c r="D36" s="52" t="s">
        <v>1513</v>
      </c>
      <c r="E36" s="66"/>
      <c r="F36" s="66"/>
      <c r="G36" s="52" t="s">
        <v>1513</v>
      </c>
      <c r="H36" s="65"/>
      <c r="I36" s="65"/>
      <c r="J36" s="52" t="s">
        <v>1513</v>
      </c>
      <c r="Q36">
        <f t="shared" si="7"/>
        <v>0</v>
      </c>
      <c r="R36">
        <f t="shared" si="8"/>
        <v>0</v>
      </c>
      <c r="S36" s="21">
        <f t="shared" si="9"/>
        <v>0</v>
      </c>
      <c r="T36" s="21">
        <f t="shared" si="10"/>
        <v>0</v>
      </c>
    </row>
    <row r="37" spans="1:20" ht="16.5" customHeight="1">
      <c r="A37" s="50" t="s">
        <v>1509</v>
      </c>
      <c r="B37" s="67">
        <v>0</v>
      </c>
      <c r="C37" s="67">
        <v>0</v>
      </c>
      <c r="D37" s="52" t="s">
        <v>1513</v>
      </c>
      <c r="E37" s="66"/>
      <c r="F37" s="66"/>
      <c r="G37" s="52" t="s">
        <v>1513</v>
      </c>
      <c r="H37" s="65"/>
      <c r="I37" s="65"/>
      <c r="J37" s="52" t="s">
        <v>1513</v>
      </c>
      <c r="Q37">
        <f t="shared" si="7"/>
        <v>0</v>
      </c>
      <c r="R37">
        <f t="shared" si="8"/>
        <v>0</v>
      </c>
      <c r="S37" s="21">
        <f t="shared" si="9"/>
        <v>0</v>
      </c>
      <c r="T37" s="21">
        <f t="shared" si="10"/>
        <v>0</v>
      </c>
    </row>
    <row r="38" spans="1:20" ht="16.5" customHeight="1">
      <c r="A38" s="68" t="s">
        <v>1531</v>
      </c>
      <c r="B38" s="67">
        <v>5070.346275</v>
      </c>
      <c r="C38" s="67">
        <v>7509.0447</v>
      </c>
      <c r="D38" s="52">
        <f aca="true" t="shared" si="16" ref="D38:D41">B38/C38*100-100</f>
        <v>-32.47681326227823</v>
      </c>
      <c r="E38" s="66">
        <v>12982</v>
      </c>
      <c r="F38" s="66">
        <v>16768</v>
      </c>
      <c r="G38" s="52">
        <f aca="true" t="shared" si="17" ref="G38:G41">E38/F38*100-100</f>
        <v>-22.578721374045813</v>
      </c>
      <c r="H38" s="65">
        <v>8364</v>
      </c>
      <c r="I38" s="65">
        <v>11253</v>
      </c>
      <c r="J38" s="52">
        <f aca="true" t="shared" si="18" ref="J38:J41">H38/I38*100-100</f>
        <v>-25.673153825646494</v>
      </c>
      <c r="N38">
        <v>9083462.75</v>
      </c>
      <c r="O38">
        <v>9500447</v>
      </c>
      <c r="Q38">
        <f t="shared" si="7"/>
        <v>908.346275</v>
      </c>
      <c r="R38">
        <f t="shared" si="8"/>
        <v>950.0447</v>
      </c>
      <c r="S38" s="21">
        <f t="shared" si="9"/>
        <v>5978.69255</v>
      </c>
      <c r="T38" s="21">
        <f t="shared" si="10"/>
        <v>8459.0894</v>
      </c>
    </row>
    <row r="39" spans="1:20" ht="16.5" customHeight="1">
      <c r="A39" s="50" t="s">
        <v>1505</v>
      </c>
      <c r="B39" s="67">
        <v>1237.8476</v>
      </c>
      <c r="C39" s="67">
        <v>874.496</v>
      </c>
      <c r="D39" s="52">
        <f t="shared" si="16"/>
        <v>41.54982984484778</v>
      </c>
      <c r="E39" s="66">
        <v>3407</v>
      </c>
      <c r="F39" s="66">
        <v>2821</v>
      </c>
      <c r="G39" s="52">
        <f t="shared" si="17"/>
        <v>20.7727756114853</v>
      </c>
      <c r="H39" s="65">
        <v>2198</v>
      </c>
      <c r="I39" s="65">
        <v>1745</v>
      </c>
      <c r="J39" s="52">
        <f t="shared" si="18"/>
        <v>25.95988538681948</v>
      </c>
      <c r="N39">
        <v>2478476</v>
      </c>
      <c r="O39">
        <v>2154960</v>
      </c>
      <c r="Q39">
        <f t="shared" si="7"/>
        <v>247.8476</v>
      </c>
      <c r="R39">
        <f t="shared" si="8"/>
        <v>215.496</v>
      </c>
      <c r="S39" s="21">
        <f t="shared" si="9"/>
        <v>1485.6952</v>
      </c>
      <c r="T39" s="21">
        <f t="shared" si="10"/>
        <v>1089.992</v>
      </c>
    </row>
    <row r="40" spans="1:20" ht="16.5" customHeight="1">
      <c r="A40" s="50" t="s">
        <v>1507</v>
      </c>
      <c r="B40" s="67">
        <v>3808.7380000000003</v>
      </c>
      <c r="C40" s="67">
        <v>3572.285</v>
      </c>
      <c r="D40" s="52">
        <f t="shared" si="16"/>
        <v>6.61909674060162</v>
      </c>
      <c r="E40" s="66">
        <v>9537</v>
      </c>
      <c r="F40" s="66">
        <v>8638</v>
      </c>
      <c r="G40" s="52">
        <f t="shared" si="17"/>
        <v>10.407501736513083</v>
      </c>
      <c r="H40" s="65">
        <v>6104</v>
      </c>
      <c r="I40" s="65">
        <v>5297</v>
      </c>
      <c r="J40" s="52">
        <f t="shared" si="18"/>
        <v>15.235038701151595</v>
      </c>
      <c r="N40">
        <v>6437380</v>
      </c>
      <c r="O40">
        <v>7322850</v>
      </c>
      <c r="Q40">
        <f t="shared" si="7"/>
        <v>643.738</v>
      </c>
      <c r="R40">
        <f t="shared" si="8"/>
        <v>732.285</v>
      </c>
      <c r="S40" s="21">
        <f t="shared" si="9"/>
        <v>4452.476000000001</v>
      </c>
      <c r="T40" s="21">
        <f t="shared" si="10"/>
        <v>4304.57</v>
      </c>
    </row>
    <row r="41" spans="1:20" ht="16.5" customHeight="1">
      <c r="A41" s="50" t="s">
        <v>1509</v>
      </c>
      <c r="B41" s="67">
        <v>23.760675</v>
      </c>
      <c r="C41" s="67">
        <v>8.2637</v>
      </c>
      <c r="D41" s="52">
        <f t="shared" si="16"/>
        <v>187.53070658421774</v>
      </c>
      <c r="E41" s="66">
        <v>38</v>
      </c>
      <c r="F41" s="66">
        <v>170</v>
      </c>
      <c r="G41" s="52">
        <f t="shared" si="17"/>
        <v>-77.6470588235294</v>
      </c>
      <c r="H41" s="65">
        <v>62</v>
      </c>
      <c r="I41" s="65">
        <v>59</v>
      </c>
      <c r="J41" s="52">
        <f t="shared" si="18"/>
        <v>5.084745762711876</v>
      </c>
      <c r="N41">
        <v>167606.75</v>
      </c>
      <c r="O41">
        <v>22637</v>
      </c>
      <c r="Q41">
        <f t="shared" si="7"/>
        <v>16.760675</v>
      </c>
      <c r="R41">
        <f t="shared" si="8"/>
        <v>2.2637</v>
      </c>
      <c r="S41" s="21">
        <f t="shared" si="9"/>
        <v>40.52135</v>
      </c>
      <c r="T41" s="21">
        <f t="shared" si="10"/>
        <v>10.5274</v>
      </c>
    </row>
    <row r="42" spans="1:10" ht="18" customHeight="1">
      <c r="A42" s="23" t="s">
        <v>1532</v>
      </c>
      <c r="B42" s="23"/>
      <c r="C42" s="23"/>
      <c r="D42" s="23"/>
      <c r="E42" s="23"/>
      <c r="F42" s="23"/>
      <c r="G42" s="23"/>
      <c r="H42" s="24"/>
      <c r="I42" s="24"/>
      <c r="J42" s="24"/>
    </row>
  </sheetData>
  <sheetProtection/>
  <mergeCells count="7">
    <mergeCell ref="A2:J2"/>
    <mergeCell ref="H3:J3"/>
    <mergeCell ref="B4:D4"/>
    <mergeCell ref="E4:G4"/>
    <mergeCell ref="H4:J4"/>
    <mergeCell ref="A42:J42"/>
    <mergeCell ref="A4:A5"/>
  </mergeCells>
  <printOptions horizontalCentered="1"/>
  <pageMargins left="0.43" right="0.43" top="0.51" bottom="0.78" header="0.31" footer="0.56"/>
  <pageSetup errors="blank" horizontalDpi="600" verticalDpi="600" orientation="landscape" paperSize="9"/>
  <headerFooter scaleWithDoc="0" alignWithMargins="0">
    <oddFooter>&amp;C—&amp;P+68—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indexed="14"/>
  </sheetPr>
  <dimension ref="A1:T24"/>
  <sheetViews>
    <sheetView showZeros="0" workbookViewId="0" topLeftCell="A1">
      <selection activeCell="V11" sqref="V11"/>
    </sheetView>
  </sheetViews>
  <sheetFormatPr defaultColWidth="9.00390625" defaultRowHeight="14.25" customHeight="1"/>
  <cols>
    <col min="1" max="1" width="34.125" style="27" bestFit="1" customWidth="1"/>
    <col min="2" max="2" width="9.625" style="28" customWidth="1"/>
    <col min="3" max="3" width="9.625" style="29" customWidth="1"/>
    <col min="4" max="4" width="9.625" style="30" customWidth="1"/>
    <col min="5" max="6" width="9.625" style="31" customWidth="1"/>
    <col min="7" max="7" width="9.625" style="30" customWidth="1"/>
    <col min="8" max="9" width="9.625" style="31" customWidth="1"/>
    <col min="10" max="10" width="9.625" style="30" customWidth="1"/>
    <col min="11" max="20" width="9.00390625" style="32" hidden="1" customWidth="1"/>
    <col min="21" max="16384" width="9.00390625" style="32" customWidth="1"/>
  </cols>
  <sheetData>
    <row r="1" spans="1:2" ht="14.25" customHeight="1">
      <c r="A1" s="33" t="s">
        <v>1575</v>
      </c>
      <c r="B1" s="34"/>
    </row>
    <row r="2" spans="1:10" ht="24" customHeight="1">
      <c r="A2" s="9" t="s">
        <v>1576</v>
      </c>
      <c r="B2" s="9"/>
      <c r="C2" s="9"/>
      <c r="D2" s="9"/>
      <c r="E2" s="9"/>
      <c r="F2" s="9"/>
      <c r="G2" s="9"/>
      <c r="H2" s="9"/>
      <c r="I2" s="9"/>
      <c r="J2" s="9"/>
    </row>
    <row r="3" spans="1:10" ht="19.5" customHeight="1">
      <c r="A3" s="35"/>
      <c r="B3" s="36"/>
      <c r="C3" s="37"/>
      <c r="D3" s="38"/>
      <c r="E3" s="39"/>
      <c r="I3" s="54" t="s">
        <v>6</v>
      </c>
      <c r="J3" s="54"/>
    </row>
    <row r="4" spans="1:14" ht="19.5" customHeight="1">
      <c r="A4" s="40" t="s">
        <v>1502</v>
      </c>
      <c r="B4" s="41" t="s">
        <v>87</v>
      </c>
      <c r="C4" s="42"/>
      <c r="D4" s="43"/>
      <c r="E4" s="44" t="s">
        <v>88</v>
      </c>
      <c r="F4" s="45"/>
      <c r="G4" s="46"/>
      <c r="H4" s="44" t="s">
        <v>89</v>
      </c>
      <c r="I4" s="45"/>
      <c r="J4" s="46"/>
      <c r="N4" s="32" t="s">
        <v>891</v>
      </c>
    </row>
    <row r="5" spans="1:16" s="26" customFormat="1" ht="43.5" customHeight="1">
      <c r="A5" s="47"/>
      <c r="B5" s="48" t="s">
        <v>93</v>
      </c>
      <c r="C5" s="48" t="s">
        <v>118</v>
      </c>
      <c r="D5" s="49" t="s">
        <v>1565</v>
      </c>
      <c r="E5" s="48" t="s">
        <v>93</v>
      </c>
      <c r="F5" s="48" t="s">
        <v>118</v>
      </c>
      <c r="G5" s="49" t="s">
        <v>1565</v>
      </c>
      <c r="H5" s="48" t="s">
        <v>93</v>
      </c>
      <c r="I5" s="48" t="s">
        <v>118</v>
      </c>
      <c r="J5" s="49" t="s">
        <v>1565</v>
      </c>
      <c r="K5">
        <v>2017</v>
      </c>
      <c r="L5">
        <v>2016</v>
      </c>
      <c r="M5"/>
      <c r="N5" s="48" t="s">
        <v>93</v>
      </c>
      <c r="O5" s="48" t="s">
        <v>118</v>
      </c>
      <c r="P5" s="26" t="s">
        <v>1556</v>
      </c>
    </row>
    <row r="6" spans="1:20" ht="18.75" customHeight="1">
      <c r="A6" s="50" t="s">
        <v>1504</v>
      </c>
      <c r="B6" s="51">
        <v>24634.767724</v>
      </c>
      <c r="C6" s="51">
        <v>18528</v>
      </c>
      <c r="D6" s="52">
        <f aca="true" t="shared" si="0" ref="D6:D11">B6/C6*100-100</f>
        <v>32.95967035837651</v>
      </c>
      <c r="E6" s="53">
        <v>55335</v>
      </c>
      <c r="F6" s="53">
        <v>47888</v>
      </c>
      <c r="G6" s="52">
        <f aca="true" t="shared" si="1" ref="G6:G11">E6/F6*100-100</f>
        <v>15.55086869361844</v>
      </c>
      <c r="H6" s="53">
        <v>34018</v>
      </c>
      <c r="I6" s="53">
        <v>26387</v>
      </c>
      <c r="J6" s="52">
        <f aca="true" t="shared" si="2" ref="J6:J9">H6/I6*100-100</f>
        <v>28.919543714708</v>
      </c>
      <c r="K6" s="21">
        <f>B6+E6+H6</f>
        <v>113987.767724</v>
      </c>
      <c r="L6" s="21">
        <f>C6+F6+I6</f>
        <v>92803</v>
      </c>
      <c r="M6">
        <f>K6/L6*100-100</f>
        <v>22.827675532040985</v>
      </c>
      <c r="N6" s="32">
        <v>16367677.240000002</v>
      </c>
      <c r="P6" s="32">
        <f>N6/10000</f>
        <v>1636.7677240000003</v>
      </c>
      <c r="Q6" s="31">
        <f>B6+P6</f>
        <v>26271.535448000002</v>
      </c>
      <c r="R6" s="31">
        <f>B6+E6+H6</f>
        <v>113987.767724</v>
      </c>
      <c r="S6" s="31">
        <f>C6+F6+I6</f>
        <v>92803</v>
      </c>
      <c r="T6" s="32">
        <f>R6/S6*100-100</f>
        <v>22.827675532040985</v>
      </c>
    </row>
    <row r="7" spans="1:19" ht="18.75" customHeight="1">
      <c r="A7" s="50" t="s">
        <v>1506</v>
      </c>
      <c r="B7" s="51">
        <v>22814.488657</v>
      </c>
      <c r="C7" s="51">
        <v>17045</v>
      </c>
      <c r="D7" s="52">
        <f t="shared" si="0"/>
        <v>33.84856941625111</v>
      </c>
      <c r="E7" s="53">
        <v>50930</v>
      </c>
      <c r="F7" s="53">
        <v>43839</v>
      </c>
      <c r="G7" s="52">
        <f t="shared" si="1"/>
        <v>16.17509523483656</v>
      </c>
      <c r="H7" s="53">
        <v>33039</v>
      </c>
      <c r="I7" s="53">
        <v>25762</v>
      </c>
      <c r="J7" s="52">
        <f t="shared" si="2"/>
        <v>28.247030510053577</v>
      </c>
      <c r="K7" s="21">
        <f>B7+E7+H7</f>
        <v>106783.48865700001</v>
      </c>
      <c r="L7" s="21">
        <f>C7+F7+I7</f>
        <v>86646</v>
      </c>
      <c r="M7">
        <f>K7/L7*100-100</f>
        <v>23.24110594487918</v>
      </c>
      <c r="N7" s="32">
        <v>15614886.57</v>
      </c>
      <c r="P7" s="32">
        <f>N7/10000</f>
        <v>1561.488657</v>
      </c>
      <c r="Q7" s="31">
        <f aca="true" t="shared" si="3" ref="Q7:Q23">B7+P7</f>
        <v>24375.977314000003</v>
      </c>
      <c r="R7" s="31">
        <f>B7+E7+H7</f>
        <v>106783.48865700001</v>
      </c>
      <c r="S7" s="31">
        <f>C7+F7+I7</f>
        <v>86646</v>
      </c>
    </row>
    <row r="8" spans="1:17" ht="18.75" customHeight="1">
      <c r="A8" s="50" t="s">
        <v>1508</v>
      </c>
      <c r="B8" s="53">
        <v>18083.642413</v>
      </c>
      <c r="C8" s="53">
        <v>11184</v>
      </c>
      <c r="D8" s="52">
        <f t="shared" si="0"/>
        <v>61.69208166130187</v>
      </c>
      <c r="E8" s="53">
        <v>40882</v>
      </c>
      <c r="F8" s="53">
        <v>31491</v>
      </c>
      <c r="G8" s="52">
        <f t="shared" si="1"/>
        <v>29.821218760915826</v>
      </c>
      <c r="H8" s="53">
        <v>25799</v>
      </c>
      <c r="I8" s="53">
        <v>20939</v>
      </c>
      <c r="J8" s="52">
        <f t="shared" si="2"/>
        <v>23.210277472658674</v>
      </c>
      <c r="N8" s="32">
        <v>10876424.13</v>
      </c>
      <c r="P8" s="32">
        <f aca="true" t="shared" si="4" ref="P8:P23">N8/10000</f>
        <v>1087.642413</v>
      </c>
      <c r="Q8" s="31">
        <f t="shared" si="3"/>
        <v>19171.284826000003</v>
      </c>
    </row>
    <row r="9" spans="1:17" ht="18.75" customHeight="1">
      <c r="A9" s="50" t="s">
        <v>1510</v>
      </c>
      <c r="B9" s="53">
        <v>16806.35429</v>
      </c>
      <c r="C9" s="53">
        <v>10255</v>
      </c>
      <c r="D9" s="52">
        <f t="shared" si="0"/>
        <v>63.884488444661116</v>
      </c>
      <c r="E9" s="53">
        <v>37884</v>
      </c>
      <c r="F9" s="53">
        <v>28428</v>
      </c>
      <c r="G9" s="52">
        <f t="shared" si="1"/>
        <v>33.26298016040522</v>
      </c>
      <c r="H9" s="53">
        <v>25482</v>
      </c>
      <c r="I9" s="53">
        <v>20727</v>
      </c>
      <c r="J9" s="52">
        <f t="shared" si="2"/>
        <v>22.941091330149078</v>
      </c>
      <c r="N9" s="32">
        <v>10753542.9</v>
      </c>
      <c r="P9" s="32">
        <f t="shared" si="4"/>
        <v>1075.35429</v>
      </c>
      <c r="Q9" s="31">
        <f t="shared" si="3"/>
        <v>17881.70858</v>
      </c>
    </row>
    <row r="10" spans="1:17" ht="18.75" customHeight="1">
      <c r="A10" s="50" t="s">
        <v>1512</v>
      </c>
      <c r="B10" s="53">
        <v>1673</v>
      </c>
      <c r="C10" s="53">
        <v>3740</v>
      </c>
      <c r="D10" s="52">
        <f t="shared" si="0"/>
        <v>-55.26737967914438</v>
      </c>
      <c r="E10" s="53">
        <v>2554</v>
      </c>
      <c r="F10" s="53">
        <v>5486</v>
      </c>
      <c r="G10" s="52">
        <f t="shared" si="1"/>
        <v>-53.44513306598614</v>
      </c>
      <c r="H10" s="53">
        <v>1213</v>
      </c>
      <c r="I10" s="53">
        <v>1173.48</v>
      </c>
      <c r="J10" s="52"/>
      <c r="P10" s="32">
        <f t="shared" si="4"/>
        <v>0</v>
      </c>
      <c r="Q10" s="31">
        <f t="shared" si="3"/>
        <v>1673</v>
      </c>
    </row>
    <row r="11" spans="1:17" ht="18.75" customHeight="1">
      <c r="A11" s="50" t="s">
        <v>1510</v>
      </c>
      <c r="B11" s="53">
        <v>1673</v>
      </c>
      <c r="C11" s="53">
        <v>3740</v>
      </c>
      <c r="D11" s="52">
        <f t="shared" si="0"/>
        <v>-55.26737967914438</v>
      </c>
      <c r="E11" s="53">
        <v>2554</v>
      </c>
      <c r="F11" s="53">
        <v>5486</v>
      </c>
      <c r="G11" s="52">
        <f t="shared" si="1"/>
        <v>-53.44513306598614</v>
      </c>
      <c r="H11" s="53">
        <v>1213</v>
      </c>
      <c r="I11" s="53">
        <v>1173.48</v>
      </c>
      <c r="J11" s="52"/>
      <c r="P11" s="32">
        <f t="shared" si="4"/>
        <v>0</v>
      </c>
      <c r="Q11" s="31">
        <f t="shared" si="3"/>
        <v>1673</v>
      </c>
    </row>
    <row r="12" spans="1:17" ht="18.75" customHeight="1">
      <c r="A12" s="50" t="s">
        <v>1514</v>
      </c>
      <c r="B12" s="53">
        <v>282</v>
      </c>
      <c r="C12" s="53">
        <v>433</v>
      </c>
      <c r="D12" s="52"/>
      <c r="E12" s="53">
        <v>587</v>
      </c>
      <c r="F12" s="53">
        <v>673</v>
      </c>
      <c r="G12" s="52"/>
      <c r="H12" s="53"/>
      <c r="I12" s="53">
        <v>0</v>
      </c>
      <c r="J12" s="52"/>
      <c r="P12" s="32">
        <f t="shared" si="4"/>
        <v>0</v>
      </c>
      <c r="Q12" s="31">
        <f t="shared" si="3"/>
        <v>282</v>
      </c>
    </row>
    <row r="13" spans="1:17" ht="18.75" customHeight="1">
      <c r="A13" s="50" t="s">
        <v>1515</v>
      </c>
      <c r="B13" s="53">
        <v>105</v>
      </c>
      <c r="C13" s="53">
        <v>153</v>
      </c>
      <c r="D13" s="52"/>
      <c r="E13" s="53">
        <v>249</v>
      </c>
      <c r="F13" s="53">
        <v>189</v>
      </c>
      <c r="G13" s="52"/>
      <c r="H13" s="53"/>
      <c r="I13" s="53">
        <v>0</v>
      </c>
      <c r="J13" s="52"/>
      <c r="P13" s="32">
        <f t="shared" si="4"/>
        <v>0</v>
      </c>
      <c r="Q13" s="31">
        <f t="shared" si="3"/>
        <v>105</v>
      </c>
    </row>
    <row r="14" spans="1:17" ht="18.75" customHeight="1">
      <c r="A14" s="50" t="s">
        <v>1516</v>
      </c>
      <c r="B14" s="53">
        <v>359</v>
      </c>
      <c r="C14" s="53">
        <v>0</v>
      </c>
      <c r="D14" s="52" t="s">
        <v>1513</v>
      </c>
      <c r="E14" s="53">
        <v>566</v>
      </c>
      <c r="F14" s="53">
        <v>0</v>
      </c>
      <c r="G14" s="52" t="s">
        <v>1513</v>
      </c>
      <c r="H14" s="53">
        <v>502</v>
      </c>
      <c r="I14" s="53">
        <v>28</v>
      </c>
      <c r="J14" s="52">
        <f>H14/I14*100-100</f>
        <v>1692.8571428571427</v>
      </c>
      <c r="P14" s="32">
        <f t="shared" si="4"/>
        <v>0</v>
      </c>
      <c r="Q14" s="31">
        <f t="shared" si="3"/>
        <v>359</v>
      </c>
    </row>
    <row r="15" spans="1:17" ht="18.75" customHeight="1">
      <c r="A15" s="50" t="s">
        <v>1517</v>
      </c>
      <c r="B15" s="53">
        <v>359</v>
      </c>
      <c r="C15" s="53">
        <v>0</v>
      </c>
      <c r="D15" s="52" t="s">
        <v>1513</v>
      </c>
      <c r="E15" s="53">
        <v>566</v>
      </c>
      <c r="F15" s="53">
        <v>0</v>
      </c>
      <c r="G15" s="52" t="s">
        <v>1513</v>
      </c>
      <c r="H15" s="53">
        <v>502</v>
      </c>
      <c r="I15" s="53">
        <v>28</v>
      </c>
      <c r="J15" s="52"/>
      <c r="P15" s="32">
        <f t="shared" si="4"/>
        <v>0</v>
      </c>
      <c r="Q15" s="31">
        <f t="shared" si="3"/>
        <v>359</v>
      </c>
    </row>
    <row r="16" spans="1:17" ht="18.75" customHeight="1">
      <c r="A16" s="50" t="s">
        <v>1518</v>
      </c>
      <c r="B16" s="53">
        <v>543</v>
      </c>
      <c r="C16" s="53">
        <v>246</v>
      </c>
      <c r="D16" s="52">
        <f>B16/C16*100-100</f>
        <v>120.73170731707319</v>
      </c>
      <c r="E16" s="53">
        <v>351</v>
      </c>
      <c r="F16" s="53">
        <v>572</v>
      </c>
      <c r="G16" s="52">
        <f>E16/F16*100-100</f>
        <v>-38.63636363636363</v>
      </c>
      <c r="H16" s="53">
        <v>1</v>
      </c>
      <c r="I16" s="53">
        <v>4</v>
      </c>
      <c r="J16" s="52"/>
      <c r="P16" s="32">
        <f t="shared" si="4"/>
        <v>0</v>
      </c>
      <c r="Q16" s="31">
        <f t="shared" si="3"/>
        <v>543</v>
      </c>
    </row>
    <row r="17" spans="1:17" ht="18.75" customHeight="1">
      <c r="A17" s="50" t="s">
        <v>1519</v>
      </c>
      <c r="B17" s="53">
        <v>507</v>
      </c>
      <c r="C17" s="53">
        <v>238</v>
      </c>
      <c r="D17" s="52">
        <f>B17/C17*100-100</f>
        <v>113.0252100840336</v>
      </c>
      <c r="E17" s="53">
        <v>320</v>
      </c>
      <c r="F17" s="53">
        <v>554</v>
      </c>
      <c r="G17" s="52">
        <f>E17/F17*100-100</f>
        <v>-42.238267148014444</v>
      </c>
      <c r="H17" s="53">
        <v>0</v>
      </c>
      <c r="I17" s="53">
        <v>3</v>
      </c>
      <c r="J17" s="52"/>
      <c r="P17" s="32">
        <f t="shared" si="4"/>
        <v>0</v>
      </c>
      <c r="Q17" s="31">
        <f t="shared" si="3"/>
        <v>507</v>
      </c>
    </row>
    <row r="18" spans="1:17" ht="18.75" customHeight="1">
      <c r="A18" s="50" t="s">
        <v>1521</v>
      </c>
      <c r="B18" s="53">
        <v>105</v>
      </c>
      <c r="C18" s="53">
        <v>61</v>
      </c>
      <c r="D18" s="52"/>
      <c r="E18" s="53">
        <v>335</v>
      </c>
      <c r="F18" s="53">
        <v>195</v>
      </c>
      <c r="G18" s="52"/>
      <c r="H18" s="53"/>
      <c r="I18" s="53">
        <v>0</v>
      </c>
      <c r="J18" s="52"/>
      <c r="P18" s="32">
        <f t="shared" si="4"/>
        <v>0</v>
      </c>
      <c r="Q18" s="31">
        <f t="shared" si="3"/>
        <v>105</v>
      </c>
    </row>
    <row r="19" spans="1:17" ht="18.75" customHeight="1">
      <c r="A19" s="50" t="s">
        <v>1522</v>
      </c>
      <c r="B19" s="53">
        <v>105</v>
      </c>
      <c r="C19" s="53">
        <v>61</v>
      </c>
      <c r="D19" s="52"/>
      <c r="E19" s="53">
        <v>335</v>
      </c>
      <c r="F19" s="53">
        <v>195</v>
      </c>
      <c r="G19" s="52"/>
      <c r="H19" s="53"/>
      <c r="I19" s="53">
        <v>0</v>
      </c>
      <c r="J19" s="52"/>
      <c r="P19" s="32">
        <f t="shared" si="4"/>
        <v>0</v>
      </c>
      <c r="Q19" s="31">
        <f t="shared" si="3"/>
        <v>105</v>
      </c>
    </row>
    <row r="20" spans="1:17" ht="18.75" customHeight="1">
      <c r="A20" s="50" t="s">
        <v>1523</v>
      </c>
      <c r="B20" s="53">
        <v>0</v>
      </c>
      <c r="C20" s="53">
        <v>0</v>
      </c>
      <c r="D20" s="52" t="s">
        <v>1513</v>
      </c>
      <c r="E20" s="53"/>
      <c r="F20" s="53">
        <v>0</v>
      </c>
      <c r="G20" s="52" t="s">
        <v>1513</v>
      </c>
      <c r="H20" s="53"/>
      <c r="I20" s="53">
        <v>0</v>
      </c>
      <c r="J20" s="52" t="s">
        <v>1513</v>
      </c>
      <c r="P20" s="32">
        <f t="shared" si="4"/>
        <v>0</v>
      </c>
      <c r="Q20" s="31">
        <f t="shared" si="3"/>
        <v>0</v>
      </c>
    </row>
    <row r="21" spans="1:17" ht="18.75" customHeight="1">
      <c r="A21" s="50" t="s">
        <v>1524</v>
      </c>
      <c r="B21" s="53">
        <v>0</v>
      </c>
      <c r="C21" s="53">
        <v>0</v>
      </c>
      <c r="D21" s="52" t="s">
        <v>1513</v>
      </c>
      <c r="E21" s="53"/>
      <c r="F21" s="53">
        <v>0</v>
      </c>
      <c r="G21" s="52" t="s">
        <v>1513</v>
      </c>
      <c r="H21" s="53"/>
      <c r="I21" s="53">
        <v>0</v>
      </c>
      <c r="J21" s="52" t="s">
        <v>1513</v>
      </c>
      <c r="P21" s="32">
        <f t="shared" si="4"/>
        <v>0</v>
      </c>
      <c r="Q21" s="31">
        <f t="shared" si="3"/>
        <v>0</v>
      </c>
    </row>
    <row r="22" spans="1:17" ht="18.75" customHeight="1">
      <c r="A22" s="50" t="s">
        <v>1526</v>
      </c>
      <c r="B22" s="53">
        <v>3589.125311</v>
      </c>
      <c r="C22" s="53">
        <v>2864</v>
      </c>
      <c r="D22" s="52">
        <f>B22/C22*100-100</f>
        <v>25.318621194134067</v>
      </c>
      <c r="E22" s="53">
        <v>10060</v>
      </c>
      <c r="F22" s="53">
        <v>9471</v>
      </c>
      <c r="G22" s="52">
        <f>E22/F22*100-100</f>
        <v>6.218984267764753</v>
      </c>
      <c r="H22" s="53">
        <v>6503</v>
      </c>
      <c r="I22" s="53">
        <v>4243</v>
      </c>
      <c r="J22" s="52">
        <f>H22/I22*100-100</f>
        <v>53.264199858590615</v>
      </c>
      <c r="N22" s="32">
        <v>5491253.11</v>
      </c>
      <c r="P22" s="32">
        <f t="shared" si="4"/>
        <v>549.125311</v>
      </c>
      <c r="Q22" s="31">
        <f t="shared" si="3"/>
        <v>4138.250622</v>
      </c>
    </row>
    <row r="23" spans="1:17" ht="18.75" customHeight="1">
      <c r="A23" s="50" t="s">
        <v>1527</v>
      </c>
      <c r="B23" s="53">
        <v>3259.134367</v>
      </c>
      <c r="C23" s="53">
        <v>2598</v>
      </c>
      <c r="D23" s="52">
        <f>B23/C23*100-100</f>
        <v>25.4478201308699</v>
      </c>
      <c r="E23" s="53">
        <v>9022</v>
      </c>
      <c r="F23" s="53">
        <v>8987</v>
      </c>
      <c r="G23" s="52">
        <f>E23/F23*100-100</f>
        <v>0.3894514298431062</v>
      </c>
      <c r="H23" s="53">
        <v>5842</v>
      </c>
      <c r="I23" s="53">
        <v>3831</v>
      </c>
      <c r="J23" s="52">
        <f>H23/I23*100-100</f>
        <v>52.49282171756721</v>
      </c>
      <c r="N23" s="32">
        <v>4861343.67</v>
      </c>
      <c r="P23" s="32">
        <f t="shared" si="4"/>
        <v>486.134367</v>
      </c>
      <c r="Q23" s="31">
        <f t="shared" si="3"/>
        <v>3745.268734</v>
      </c>
    </row>
    <row r="24" spans="1:10" ht="14.25" customHeight="1">
      <c r="A24" s="23" t="s">
        <v>1513</v>
      </c>
      <c r="B24" s="23"/>
      <c r="C24" s="23"/>
      <c r="D24" s="23"/>
      <c r="E24" s="23"/>
      <c r="F24" s="23"/>
      <c r="G24" s="23"/>
      <c r="H24" s="24"/>
      <c r="I24" s="24"/>
      <c r="J24" s="24"/>
    </row>
  </sheetData>
  <sheetProtection/>
  <mergeCells count="7">
    <mergeCell ref="A2:J2"/>
    <mergeCell ref="I3:J3"/>
    <mergeCell ref="B4:D4"/>
    <mergeCell ref="E4:G4"/>
    <mergeCell ref="H4:J4"/>
    <mergeCell ref="A24:J24"/>
    <mergeCell ref="A4:A5"/>
  </mergeCells>
  <printOptions horizontalCentered="1"/>
  <pageMargins left="0.47" right="0.47" top="0.55" bottom="0.61" header="0.51" footer="0.28"/>
  <pageSetup errors="blank" horizontalDpi="600" verticalDpi="600" orientation="landscape" paperSize="9"/>
  <headerFooter scaleWithDoc="0" alignWithMargins="0">
    <oddFooter>&amp;C—&amp;P+70—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>
  <dimension ref="A1:O26"/>
  <sheetViews>
    <sheetView showZeros="0" workbookViewId="0" topLeftCell="A1">
      <selection activeCell="A28" sqref="A28"/>
    </sheetView>
  </sheetViews>
  <sheetFormatPr defaultColWidth="9.00390625" defaultRowHeight="14.25" customHeight="1"/>
  <cols>
    <col min="1" max="1" width="44.875" style="0" customWidth="1"/>
    <col min="2" max="7" width="12.625" style="6" customWidth="1"/>
    <col min="8" max="11" width="9.00390625" style="0" hidden="1" customWidth="1"/>
    <col min="12" max="13" width="10.50390625" style="0" hidden="1" customWidth="1"/>
    <col min="14" max="15" width="9.00390625" style="0" hidden="1" customWidth="1"/>
  </cols>
  <sheetData>
    <row r="1" spans="1:2" ht="14.25" customHeight="1">
      <c r="A1" s="7" t="s">
        <v>1577</v>
      </c>
      <c r="B1" s="8"/>
    </row>
    <row r="2" spans="1:7" ht="22.5" customHeight="1">
      <c r="A2" s="9" t="s">
        <v>1578</v>
      </c>
      <c r="B2" s="9"/>
      <c r="C2" s="9"/>
      <c r="D2" s="9"/>
      <c r="E2" s="9"/>
      <c r="F2" s="9"/>
      <c r="G2" s="9"/>
    </row>
    <row r="3" spans="1:7" ht="18.75" customHeight="1">
      <c r="A3" s="10"/>
      <c r="B3" s="11"/>
      <c r="C3" s="11"/>
      <c r="D3" s="11"/>
      <c r="G3" s="12" t="s">
        <v>6</v>
      </c>
    </row>
    <row r="4" spans="1:10" ht="18.75" customHeight="1">
      <c r="A4" s="13" t="s">
        <v>1502</v>
      </c>
      <c r="B4" s="14" t="s">
        <v>87</v>
      </c>
      <c r="C4" s="15"/>
      <c r="D4" s="16" t="s">
        <v>88</v>
      </c>
      <c r="E4" s="17"/>
      <c r="F4" s="16" t="s">
        <v>89</v>
      </c>
      <c r="G4" s="17"/>
      <c r="J4" t="s">
        <v>891</v>
      </c>
    </row>
    <row r="5" spans="1:12" ht="30" customHeight="1">
      <c r="A5" s="13"/>
      <c r="B5" s="18" t="s">
        <v>1579</v>
      </c>
      <c r="C5" s="18" t="s">
        <v>1580</v>
      </c>
      <c r="D5" s="18" t="s">
        <v>1579</v>
      </c>
      <c r="E5" s="18" t="s">
        <v>1580</v>
      </c>
      <c r="F5" s="18" t="s">
        <v>1579</v>
      </c>
      <c r="G5" s="18" t="s">
        <v>1580</v>
      </c>
      <c r="H5">
        <v>2017</v>
      </c>
      <c r="I5">
        <v>2016</v>
      </c>
      <c r="J5" s="18" t="s">
        <v>1579</v>
      </c>
      <c r="K5" s="18" t="s">
        <v>1580</v>
      </c>
      <c r="L5" s="25" t="s">
        <v>1556</v>
      </c>
    </row>
    <row r="6" spans="1:15" ht="18" customHeight="1">
      <c r="A6" s="19" t="s">
        <v>1535</v>
      </c>
      <c r="B6" s="18">
        <v>5614.054319</v>
      </c>
      <c r="C6" s="18">
        <v>19841.185907</v>
      </c>
      <c r="D6" s="20">
        <v>7476</v>
      </c>
      <c r="E6" s="20">
        <v>50507</v>
      </c>
      <c r="F6" s="20">
        <v>-12722</v>
      </c>
      <c r="G6" s="20">
        <v>5394</v>
      </c>
      <c r="H6" s="21">
        <f>B6+D6+F6</f>
        <v>368.05431899999894</v>
      </c>
      <c r="I6" s="21">
        <f>C6+E6+G6</f>
        <v>75742.185907</v>
      </c>
      <c r="J6">
        <v>-5069456.81</v>
      </c>
      <c r="K6">
        <v>-2998140.93</v>
      </c>
      <c r="L6" s="6">
        <f>J6/10000</f>
        <v>-506.945681</v>
      </c>
      <c r="M6" s="6">
        <f>K6/10000</f>
        <v>-299.814093</v>
      </c>
      <c r="N6" s="6">
        <f>B6+L6</f>
        <v>5107.108638</v>
      </c>
      <c r="O6" s="6">
        <f>C6+M6</f>
        <v>19541.371814</v>
      </c>
    </row>
    <row r="7" spans="1:15" ht="18" customHeight="1">
      <c r="A7" s="19" t="s">
        <v>1536</v>
      </c>
      <c r="B7" s="18">
        <v>151814.243323</v>
      </c>
      <c r="C7" s="18">
        <v>146975.009237</v>
      </c>
      <c r="D7" s="20">
        <v>141580</v>
      </c>
      <c r="E7" s="20">
        <v>134103</v>
      </c>
      <c r="F7" s="20">
        <v>117112</v>
      </c>
      <c r="G7" s="20">
        <v>129833</v>
      </c>
      <c r="H7" s="21">
        <f>B7+D7+F7</f>
        <v>410506.24332300003</v>
      </c>
      <c r="I7" s="21">
        <f>C7+E7+G7</f>
        <v>410911.009237</v>
      </c>
      <c r="J7">
        <v>55672433.230000004</v>
      </c>
      <c r="K7">
        <v>68490092.37</v>
      </c>
      <c r="L7" s="6">
        <f aca="true" t="shared" si="0" ref="L7:L23">J7/10000</f>
        <v>5567.243323000001</v>
      </c>
      <c r="M7" s="6">
        <f aca="true" t="shared" si="1" ref="M7:M23">K7/10000</f>
        <v>6849.009237</v>
      </c>
      <c r="N7" s="6">
        <f aca="true" t="shared" si="2" ref="N7:N23">B7+L7</f>
        <v>157381.486646</v>
      </c>
      <c r="O7" s="6">
        <f aca="true" t="shared" si="3" ref="O7:O23">C7+M7</f>
        <v>153824.01847399998</v>
      </c>
    </row>
    <row r="8" spans="1:15" ht="18" customHeight="1">
      <c r="A8" s="22" t="s">
        <v>1537</v>
      </c>
      <c r="B8" s="18">
        <v>2333.833355</v>
      </c>
      <c r="C8" s="18">
        <v>13577.326943</v>
      </c>
      <c r="D8" s="20">
        <v>2665</v>
      </c>
      <c r="E8" s="20">
        <v>41228</v>
      </c>
      <c r="F8" s="20">
        <v>-15132</v>
      </c>
      <c r="G8" s="20">
        <v>-3391</v>
      </c>
      <c r="J8">
        <v>-8661666.45</v>
      </c>
      <c r="K8">
        <v>-8036730.57</v>
      </c>
      <c r="L8" s="6">
        <f t="shared" si="0"/>
        <v>-866.1666449999999</v>
      </c>
      <c r="M8" s="6">
        <f t="shared" si="1"/>
        <v>-803.6730570000001</v>
      </c>
      <c r="N8" s="6">
        <f t="shared" si="2"/>
        <v>1467.6667100000004</v>
      </c>
      <c r="O8" s="6">
        <f t="shared" si="3"/>
        <v>12773.653886</v>
      </c>
    </row>
    <row r="9" spans="1:15" ht="18" customHeight="1">
      <c r="A9" s="22" t="s">
        <v>1538</v>
      </c>
      <c r="B9" s="18">
        <v>136696.601452</v>
      </c>
      <c r="C9" s="18">
        <v>134709.795234</v>
      </c>
      <c r="D9" s="20">
        <v>120918</v>
      </c>
      <c r="E9" s="20">
        <v>118252</v>
      </c>
      <c r="F9" s="20">
        <v>105574</v>
      </c>
      <c r="G9" s="20">
        <v>120707</v>
      </c>
      <c r="J9">
        <v>41476014.52</v>
      </c>
      <c r="K9">
        <v>53597952.34</v>
      </c>
      <c r="L9" s="6">
        <f t="shared" si="0"/>
        <v>4147.601452</v>
      </c>
      <c r="M9" s="6">
        <f t="shared" si="1"/>
        <v>5359.795234</v>
      </c>
      <c r="N9" s="6">
        <f t="shared" si="2"/>
        <v>140844.202904</v>
      </c>
      <c r="O9" s="6">
        <f t="shared" si="3"/>
        <v>140069.59046799998</v>
      </c>
    </row>
    <row r="10" spans="1:15" ht="18" customHeight="1">
      <c r="A10" s="22" t="s">
        <v>1539</v>
      </c>
      <c r="B10" s="18">
        <v>427</v>
      </c>
      <c r="C10" s="18">
        <v>1121</v>
      </c>
      <c r="D10" s="20">
        <v>920</v>
      </c>
      <c r="E10" s="20">
        <v>662</v>
      </c>
      <c r="F10" s="20">
        <v>81</v>
      </c>
      <c r="G10" s="20">
        <v>2500</v>
      </c>
      <c r="L10" s="6">
        <f t="shared" si="0"/>
        <v>0</v>
      </c>
      <c r="M10" s="6">
        <f t="shared" si="1"/>
        <v>0</v>
      </c>
      <c r="N10" s="6">
        <f t="shared" si="2"/>
        <v>427</v>
      </c>
      <c r="O10" s="6">
        <f t="shared" si="3"/>
        <v>1121</v>
      </c>
    </row>
    <row r="11" spans="1:15" ht="18" customHeight="1">
      <c r="A11" s="22" t="s">
        <v>1540</v>
      </c>
      <c r="B11" s="18">
        <v>1549</v>
      </c>
      <c r="C11" s="18">
        <v>1121</v>
      </c>
      <c r="D11" s="20">
        <v>1582</v>
      </c>
      <c r="E11" s="20">
        <v>662</v>
      </c>
      <c r="F11" s="20">
        <v>2581</v>
      </c>
      <c r="G11" s="20">
        <v>2500</v>
      </c>
      <c r="L11" s="6">
        <f t="shared" si="0"/>
        <v>0</v>
      </c>
      <c r="M11" s="6">
        <f t="shared" si="1"/>
        <v>0</v>
      </c>
      <c r="N11" s="6">
        <f t="shared" si="2"/>
        <v>1549</v>
      </c>
      <c r="O11" s="6">
        <f t="shared" si="3"/>
        <v>1121</v>
      </c>
    </row>
    <row r="12" spans="1:15" ht="18" customHeight="1">
      <c r="A12" s="22" t="s">
        <v>1541</v>
      </c>
      <c r="B12" s="18">
        <v>-9</v>
      </c>
      <c r="C12" s="18">
        <v>-208</v>
      </c>
      <c r="D12" s="20">
        <v>25</v>
      </c>
      <c r="E12" s="20">
        <v>-98</v>
      </c>
      <c r="F12" s="20"/>
      <c r="G12" s="20"/>
      <c r="L12" s="6">
        <f t="shared" si="0"/>
        <v>0</v>
      </c>
      <c r="M12" s="6">
        <f t="shared" si="1"/>
        <v>0</v>
      </c>
      <c r="N12" s="6">
        <f t="shared" si="2"/>
        <v>-9</v>
      </c>
      <c r="O12" s="6">
        <f t="shared" si="3"/>
        <v>-208</v>
      </c>
    </row>
    <row r="13" spans="1:15" ht="18" customHeight="1">
      <c r="A13" s="22" t="s">
        <v>1542</v>
      </c>
      <c r="B13" s="18">
        <v>3031</v>
      </c>
      <c r="C13" s="18">
        <v>3039</v>
      </c>
      <c r="D13" s="20">
        <v>4126</v>
      </c>
      <c r="E13" s="20">
        <v>4101</v>
      </c>
      <c r="F13" s="20"/>
      <c r="G13" s="20"/>
      <c r="L13" s="6">
        <f t="shared" si="0"/>
        <v>0</v>
      </c>
      <c r="M13" s="6">
        <f t="shared" si="1"/>
        <v>0</v>
      </c>
      <c r="N13" s="6">
        <f t="shared" si="2"/>
        <v>3031</v>
      </c>
      <c r="O13" s="6">
        <f t="shared" si="3"/>
        <v>3039</v>
      </c>
    </row>
    <row r="14" spans="1:15" ht="18" customHeight="1">
      <c r="A14" s="22" t="s">
        <v>1543</v>
      </c>
      <c r="B14" s="18">
        <v>725</v>
      </c>
      <c r="C14" s="18">
        <v>289</v>
      </c>
      <c r="D14" s="20">
        <v>427</v>
      </c>
      <c r="E14" s="20">
        <v>412</v>
      </c>
      <c r="F14" s="20">
        <v>430</v>
      </c>
      <c r="G14" s="20">
        <v>406</v>
      </c>
      <c r="L14" s="6">
        <f t="shared" si="0"/>
        <v>0</v>
      </c>
      <c r="M14" s="6">
        <f t="shared" si="1"/>
        <v>0</v>
      </c>
      <c r="N14" s="6">
        <f t="shared" si="2"/>
        <v>725</v>
      </c>
      <c r="O14" s="6">
        <f t="shared" si="3"/>
        <v>289</v>
      </c>
    </row>
    <row r="15" spans="1:15" ht="18" customHeight="1">
      <c r="A15" s="22" t="s">
        <v>1544</v>
      </c>
      <c r="B15" s="18">
        <v>1013</v>
      </c>
      <c r="C15" s="18">
        <v>289</v>
      </c>
      <c r="D15" s="20">
        <v>839</v>
      </c>
      <c r="E15" s="20">
        <v>412</v>
      </c>
      <c r="F15" s="20">
        <v>1078</v>
      </c>
      <c r="G15" s="20">
        <v>647</v>
      </c>
      <c r="L15" s="6">
        <f t="shared" si="0"/>
        <v>0</v>
      </c>
      <c r="M15" s="6">
        <f t="shared" si="1"/>
        <v>0</v>
      </c>
      <c r="N15" s="6">
        <f t="shared" si="2"/>
        <v>1013</v>
      </c>
      <c r="O15" s="6">
        <f t="shared" si="3"/>
        <v>289</v>
      </c>
    </row>
    <row r="16" spans="1:15" ht="18" customHeight="1">
      <c r="A16" s="22" t="s">
        <v>1545</v>
      </c>
      <c r="B16" s="18">
        <v>679</v>
      </c>
      <c r="C16" s="18">
        <v>680</v>
      </c>
      <c r="D16" s="20">
        <v>670</v>
      </c>
      <c r="E16" s="20">
        <v>674</v>
      </c>
      <c r="F16" s="20">
        <v>38</v>
      </c>
      <c r="G16" s="20">
        <v>34</v>
      </c>
      <c r="L16" s="6">
        <f t="shared" si="0"/>
        <v>0</v>
      </c>
      <c r="M16" s="6">
        <f t="shared" si="1"/>
        <v>0</v>
      </c>
      <c r="N16" s="6">
        <f t="shared" si="2"/>
        <v>679</v>
      </c>
      <c r="O16" s="6">
        <f t="shared" si="3"/>
        <v>680</v>
      </c>
    </row>
    <row r="17" spans="1:15" ht="18" customHeight="1">
      <c r="A17" s="22" t="s">
        <v>1546</v>
      </c>
      <c r="B17" s="18">
        <v>2758</v>
      </c>
      <c r="C17" s="18">
        <v>2079</v>
      </c>
      <c r="D17" s="20">
        <v>3400</v>
      </c>
      <c r="E17" s="20">
        <v>2730</v>
      </c>
      <c r="F17" s="20">
        <v>173</v>
      </c>
      <c r="G17" s="20">
        <v>134</v>
      </c>
      <c r="L17" s="6">
        <f t="shared" si="0"/>
        <v>0</v>
      </c>
      <c r="M17" s="6">
        <f t="shared" si="1"/>
        <v>0</v>
      </c>
      <c r="N17" s="6">
        <f t="shared" si="2"/>
        <v>2758</v>
      </c>
      <c r="O17" s="6">
        <f t="shared" si="3"/>
        <v>2079</v>
      </c>
    </row>
    <row r="18" spans="1:15" ht="18" customHeight="1">
      <c r="A18" s="22" t="s">
        <v>1547</v>
      </c>
      <c r="B18" s="18">
        <v>-23</v>
      </c>
      <c r="C18" s="18">
        <v>-19</v>
      </c>
      <c r="D18" s="20">
        <v>-153</v>
      </c>
      <c r="E18" s="20">
        <v>-159</v>
      </c>
      <c r="F18" s="20"/>
      <c r="G18" s="20"/>
      <c r="L18" s="6">
        <f t="shared" si="0"/>
        <v>0</v>
      </c>
      <c r="M18" s="6">
        <f t="shared" si="1"/>
        <v>0</v>
      </c>
      <c r="N18" s="6">
        <f t="shared" si="2"/>
        <v>-23</v>
      </c>
      <c r="O18" s="6">
        <f t="shared" si="3"/>
        <v>-19</v>
      </c>
    </row>
    <row r="19" spans="1:15" ht="18" customHeight="1">
      <c r="A19" s="22" t="s">
        <v>1548</v>
      </c>
      <c r="B19" s="18">
        <v>328</v>
      </c>
      <c r="C19" s="18">
        <v>351</v>
      </c>
      <c r="D19" s="20">
        <v>5</v>
      </c>
      <c r="E19" s="20">
        <v>158</v>
      </c>
      <c r="F19" s="20"/>
      <c r="G19" s="20"/>
      <c r="L19" s="6">
        <f t="shared" si="0"/>
        <v>0</v>
      </c>
      <c r="M19" s="6">
        <f t="shared" si="1"/>
        <v>0</v>
      </c>
      <c r="N19" s="6">
        <f t="shared" si="2"/>
        <v>328</v>
      </c>
      <c r="O19" s="6">
        <f t="shared" si="3"/>
        <v>351</v>
      </c>
    </row>
    <row r="20" spans="1:15" ht="18" customHeight="1">
      <c r="A20" s="22" t="s">
        <v>1549</v>
      </c>
      <c r="B20" s="18">
        <v>0</v>
      </c>
      <c r="C20" s="18">
        <v>0</v>
      </c>
      <c r="D20" s="20"/>
      <c r="E20" s="20"/>
      <c r="F20" s="20"/>
      <c r="G20" s="20"/>
      <c r="L20" s="6">
        <f t="shared" si="0"/>
        <v>0</v>
      </c>
      <c r="M20" s="6">
        <f t="shared" si="1"/>
        <v>0</v>
      </c>
      <c r="N20" s="6">
        <f t="shared" si="2"/>
        <v>0</v>
      </c>
      <c r="O20" s="6">
        <f t="shared" si="3"/>
        <v>0</v>
      </c>
    </row>
    <row r="21" spans="1:15" ht="18" customHeight="1">
      <c r="A21" s="22" t="s">
        <v>1550</v>
      </c>
      <c r="B21" s="18">
        <v>0</v>
      </c>
      <c r="C21" s="18">
        <v>0</v>
      </c>
      <c r="D21" s="20"/>
      <c r="E21" s="20"/>
      <c r="F21" s="20"/>
      <c r="G21" s="20"/>
      <c r="L21" s="6">
        <f t="shared" si="0"/>
        <v>0</v>
      </c>
      <c r="M21" s="6">
        <f t="shared" si="1"/>
        <v>0</v>
      </c>
      <c r="N21" s="6">
        <f t="shared" si="2"/>
        <v>0</v>
      </c>
      <c r="O21" s="6">
        <f t="shared" si="3"/>
        <v>0</v>
      </c>
    </row>
    <row r="22" spans="1:15" ht="18" customHeight="1">
      <c r="A22" s="22" t="s">
        <v>1551</v>
      </c>
      <c r="B22" s="18">
        <v>1481.220964</v>
      </c>
      <c r="C22" s="18">
        <v>4400.858964</v>
      </c>
      <c r="D22" s="20">
        <v>2922</v>
      </c>
      <c r="E22" s="20">
        <v>7788</v>
      </c>
      <c r="F22" s="20">
        <v>1861</v>
      </c>
      <c r="G22" s="20">
        <v>5845</v>
      </c>
      <c r="J22">
        <v>3592209.64</v>
      </c>
      <c r="K22">
        <v>5038589.64</v>
      </c>
      <c r="L22" s="6">
        <f t="shared" si="0"/>
        <v>359.22096400000004</v>
      </c>
      <c r="M22" s="6">
        <f t="shared" si="1"/>
        <v>503.85896399999996</v>
      </c>
      <c r="N22" s="6">
        <f t="shared" si="2"/>
        <v>1840.4419280000002</v>
      </c>
      <c r="O22" s="6">
        <f t="shared" si="3"/>
        <v>4904.717928</v>
      </c>
    </row>
    <row r="23" spans="1:15" ht="18" customHeight="1">
      <c r="A23" s="22" t="s">
        <v>1552</v>
      </c>
      <c r="B23" s="18">
        <v>6438.641871</v>
      </c>
      <c r="C23" s="18">
        <v>5386.214003</v>
      </c>
      <c r="D23" s="20">
        <v>10710</v>
      </c>
      <c r="E23" s="20">
        <v>7788</v>
      </c>
      <c r="F23" s="20">
        <v>7706</v>
      </c>
      <c r="G23" s="20">
        <v>5845</v>
      </c>
      <c r="J23">
        <v>14196418.71</v>
      </c>
      <c r="K23">
        <v>14892140.03</v>
      </c>
      <c r="L23" s="6">
        <f t="shared" si="0"/>
        <v>1419.641871</v>
      </c>
      <c r="M23" s="6">
        <f t="shared" si="1"/>
        <v>1489.2140029999998</v>
      </c>
      <c r="N23" s="6">
        <f t="shared" si="2"/>
        <v>7858.283742</v>
      </c>
      <c r="O23" s="6">
        <f t="shared" si="3"/>
        <v>6875.428006</v>
      </c>
    </row>
    <row r="24" spans="1:10" ht="14.25" customHeight="1">
      <c r="A24" s="23" t="s">
        <v>1532</v>
      </c>
      <c r="B24" s="23"/>
      <c r="C24" s="23"/>
      <c r="D24" s="23"/>
      <c r="E24" s="23"/>
      <c r="F24" s="23"/>
      <c r="G24" s="23"/>
      <c r="H24" s="24"/>
      <c r="I24" s="24"/>
      <c r="J24" s="24"/>
    </row>
    <row r="25" spans="2:7" ht="14.25" customHeight="1" hidden="1">
      <c r="B25" s="6">
        <f aca="true" t="shared" si="4" ref="B25:G26">B6-B8-B10-B12-B14-B16-B18-B20-B22</f>
        <v>0</v>
      </c>
      <c r="C25" s="6">
        <f t="shared" si="4"/>
        <v>0</v>
      </c>
      <c r="D25" s="6">
        <f t="shared" si="4"/>
        <v>0</v>
      </c>
      <c r="E25" s="6">
        <f t="shared" si="4"/>
        <v>0</v>
      </c>
      <c r="F25" s="6">
        <f t="shared" si="4"/>
        <v>0</v>
      </c>
      <c r="G25" s="6">
        <f t="shared" si="4"/>
        <v>0</v>
      </c>
    </row>
    <row r="26" spans="2:7" ht="14.25" customHeight="1" hidden="1">
      <c r="B26" s="6">
        <f t="shared" si="4"/>
        <v>0</v>
      </c>
      <c r="C26" s="6">
        <f t="shared" si="4"/>
        <v>0</v>
      </c>
      <c r="D26" s="6">
        <f t="shared" si="4"/>
        <v>0</v>
      </c>
      <c r="E26" s="6">
        <f t="shared" si="4"/>
        <v>0</v>
      </c>
      <c r="F26" s="6">
        <f t="shared" si="4"/>
        <v>0</v>
      </c>
      <c r="G26" s="6">
        <f t="shared" si="4"/>
        <v>0</v>
      </c>
    </row>
  </sheetData>
  <sheetProtection/>
  <mergeCells count="6">
    <mergeCell ref="A2:G2"/>
    <mergeCell ref="B4:C4"/>
    <mergeCell ref="D4:E4"/>
    <mergeCell ref="F4:G4"/>
    <mergeCell ref="A24:J24"/>
    <mergeCell ref="A4:A5"/>
  </mergeCells>
  <printOptions horizontalCentered="1"/>
  <pageMargins left="0.59" right="0.55" top="0.67" bottom="0.61" header="0.51" footer="0.39"/>
  <pageSetup errors="blank" horizontalDpi="600" verticalDpi="600" orientation="landscape" paperSize="9"/>
  <headerFooter scaleWithDoc="0" alignWithMargins="0">
    <oddFooter>&amp;C—&amp;P+71—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>
  <dimension ref="A25:M29"/>
  <sheetViews>
    <sheetView workbookViewId="0" topLeftCell="A1">
      <selection activeCell="J15" sqref="J15"/>
    </sheetView>
  </sheetViews>
  <sheetFormatPr defaultColWidth="9.00390625" defaultRowHeight="14.25"/>
  <sheetData>
    <row r="24" ht="15" customHeight="1"/>
    <row r="25" spans="1:13" ht="10.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</row>
    <row r="26" spans="1:13" ht="22.5">
      <c r="A26" s="2" t="s">
        <v>1581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</row>
    <row r="27" spans="1:13" ht="8.25" customHeight="1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</row>
    <row r="28" spans="1:13" ht="8.25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</row>
    <row r="29" spans="1:13" ht="22.5">
      <c r="A29" s="4"/>
      <c r="B29" s="4"/>
      <c r="C29" s="4"/>
      <c r="D29" s="4"/>
      <c r="E29" s="4"/>
      <c r="F29" s="4"/>
      <c r="G29" s="4"/>
      <c r="H29" s="4"/>
      <c r="I29" s="4"/>
      <c r="J29" s="4"/>
      <c r="K29" s="5"/>
      <c r="L29" s="5"/>
      <c r="M29" s="5"/>
    </row>
  </sheetData>
  <sheetProtection/>
  <mergeCells count="2">
    <mergeCell ref="A26:M26"/>
    <mergeCell ref="K29:M29"/>
  </mergeCells>
  <printOptions/>
  <pageMargins left="0.75" right="0.75" top="1" bottom="1" header="0.5" footer="0.5"/>
  <pageSetup horizontalDpi="1200" verticalDpi="12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A1:H30"/>
  <sheetViews>
    <sheetView workbookViewId="0" topLeftCell="A1">
      <selection activeCell="A2" sqref="A2:H2"/>
    </sheetView>
  </sheetViews>
  <sheetFormatPr defaultColWidth="9.00390625" defaultRowHeight="19.5" customHeight="1"/>
  <cols>
    <col min="1" max="1" width="27.50390625" style="32" customWidth="1"/>
    <col min="2" max="3" width="12.625" style="168" customWidth="1"/>
    <col min="4" max="4" width="12.625" style="287" customWidth="1"/>
    <col min="5" max="5" width="33.00390625" style="32" customWidth="1"/>
    <col min="6" max="7" width="12.625" style="168" customWidth="1"/>
    <col min="8" max="8" width="12.625" style="287" customWidth="1"/>
  </cols>
  <sheetData>
    <row r="1" ht="19.5" customHeight="1">
      <c r="A1" s="469" t="s">
        <v>62</v>
      </c>
    </row>
    <row r="2" spans="1:8" ht="27" customHeight="1">
      <c r="A2" s="456" t="s">
        <v>63</v>
      </c>
      <c r="B2" s="456"/>
      <c r="C2" s="456"/>
      <c r="D2" s="456"/>
      <c r="E2" s="456"/>
      <c r="F2" s="456"/>
      <c r="G2" s="456"/>
      <c r="H2" s="456"/>
    </row>
    <row r="3" spans="7:8" ht="17.25" customHeight="1">
      <c r="G3" s="457" t="s">
        <v>6</v>
      </c>
      <c r="H3" s="457"/>
    </row>
    <row r="4" spans="1:8" s="269" customFormat="1" ht="24.75" customHeight="1">
      <c r="A4" s="175" t="s">
        <v>7</v>
      </c>
      <c r="B4" s="182" t="s">
        <v>8</v>
      </c>
      <c r="C4" s="182" t="s">
        <v>9</v>
      </c>
      <c r="D4" s="189" t="s">
        <v>10</v>
      </c>
      <c r="E4" s="189" t="s">
        <v>11</v>
      </c>
      <c r="F4" s="182" t="s">
        <v>8</v>
      </c>
      <c r="G4" s="182" t="s">
        <v>9</v>
      </c>
      <c r="H4" s="189" t="s">
        <v>10</v>
      </c>
    </row>
    <row r="5" spans="1:8" s="260" customFormat="1" ht="18" customHeight="1">
      <c r="A5" s="183" t="s">
        <v>12</v>
      </c>
      <c r="B5" s="453">
        <f>SUM(B6:B18)</f>
        <v>142056</v>
      </c>
      <c r="C5" s="453">
        <f>SUM(C6:C18)</f>
        <v>105802</v>
      </c>
      <c r="D5" s="108">
        <f aca="true" t="shared" si="0" ref="D5:D15">B5/C5*100-100</f>
        <v>34.26589289427423</v>
      </c>
      <c r="E5" s="183" t="s">
        <v>13</v>
      </c>
      <c r="F5" s="453">
        <v>30206</v>
      </c>
      <c r="G5" s="453">
        <v>18020</v>
      </c>
      <c r="H5" s="108">
        <f>F5/G5*100-100</f>
        <v>67.62486126526082</v>
      </c>
    </row>
    <row r="6" spans="1:8" s="260" customFormat="1" ht="18" customHeight="1">
      <c r="A6" s="442" t="s">
        <v>14</v>
      </c>
      <c r="B6" s="453">
        <v>48714</v>
      </c>
      <c r="C6" s="453">
        <f>22715+31</f>
        <v>22746</v>
      </c>
      <c r="D6" s="108">
        <f t="shared" si="0"/>
        <v>114.1651279345819</v>
      </c>
      <c r="E6" s="183" t="s">
        <v>15</v>
      </c>
      <c r="F6" s="453"/>
      <c r="G6" s="453"/>
      <c r="H6" s="108"/>
    </row>
    <row r="7" spans="1:8" s="260" customFormat="1" ht="18" customHeight="1">
      <c r="A7" s="442" t="s">
        <v>16</v>
      </c>
      <c r="B7" s="470">
        <v>19130</v>
      </c>
      <c r="C7" s="453">
        <f>21958+638</f>
        <v>22596</v>
      </c>
      <c r="D7" s="108">
        <f t="shared" si="0"/>
        <v>-15.3389980527527</v>
      </c>
      <c r="E7" s="183" t="s">
        <v>17</v>
      </c>
      <c r="F7" s="453">
        <v>27</v>
      </c>
      <c r="G7" s="453">
        <v>24</v>
      </c>
      <c r="H7" s="108">
        <f aca="true" t="shared" si="1" ref="H7:H19">F7/G7*100-100</f>
        <v>12.5</v>
      </c>
    </row>
    <row r="8" spans="1:8" s="260" customFormat="1" ht="18" customHeight="1">
      <c r="A8" s="442" t="s">
        <v>18</v>
      </c>
      <c r="B8" s="453">
        <v>22232</v>
      </c>
      <c r="C8" s="453">
        <f>15368+11</f>
        <v>15379</v>
      </c>
      <c r="D8" s="108">
        <f t="shared" si="0"/>
        <v>44.560764679107876</v>
      </c>
      <c r="E8" s="183" t="s">
        <v>19</v>
      </c>
      <c r="F8" s="453">
        <v>13209</v>
      </c>
      <c r="G8" s="453">
        <v>13714</v>
      </c>
      <c r="H8" s="108">
        <f t="shared" si="1"/>
        <v>-3.682368382674639</v>
      </c>
    </row>
    <row r="9" spans="1:8" s="260" customFormat="1" ht="18" customHeight="1">
      <c r="A9" s="442" t="s">
        <v>20</v>
      </c>
      <c r="B9" s="453">
        <v>5033</v>
      </c>
      <c r="C9" s="453">
        <f>3798+177</f>
        <v>3975</v>
      </c>
      <c r="D9" s="108">
        <f t="shared" si="0"/>
        <v>26.616352201257868</v>
      </c>
      <c r="E9" s="183" t="s">
        <v>21</v>
      </c>
      <c r="F9" s="453">
        <v>21335</v>
      </c>
      <c r="G9" s="453">
        <v>14664</v>
      </c>
      <c r="H9" s="108">
        <f t="shared" si="1"/>
        <v>45.4923622476814</v>
      </c>
    </row>
    <row r="10" spans="1:8" s="260" customFormat="1" ht="18" customHeight="1">
      <c r="A10" s="442" t="s">
        <v>22</v>
      </c>
      <c r="B10" s="453">
        <v>68</v>
      </c>
      <c r="C10" s="453">
        <v>7</v>
      </c>
      <c r="D10" s="108">
        <f t="shared" si="0"/>
        <v>871.4285714285713</v>
      </c>
      <c r="E10" s="183" t="s">
        <v>23</v>
      </c>
      <c r="F10" s="453">
        <v>8703</v>
      </c>
      <c r="G10" s="453">
        <v>8340</v>
      </c>
      <c r="H10" s="108">
        <f t="shared" si="1"/>
        <v>4.352517985611513</v>
      </c>
    </row>
    <row r="11" spans="1:8" s="260" customFormat="1" ht="18" customHeight="1">
      <c r="A11" s="442" t="s">
        <v>24</v>
      </c>
      <c r="B11" s="453">
        <v>12768</v>
      </c>
      <c r="C11" s="453">
        <f>9950+98</f>
        <v>10048</v>
      </c>
      <c r="D11" s="108">
        <f t="shared" si="0"/>
        <v>27.070063694267517</v>
      </c>
      <c r="E11" s="183" t="s">
        <v>25</v>
      </c>
      <c r="F11" s="453">
        <v>388</v>
      </c>
      <c r="G11" s="453">
        <v>36</v>
      </c>
      <c r="H11" s="108">
        <f t="shared" si="1"/>
        <v>977.7777777777778</v>
      </c>
    </row>
    <row r="12" spans="1:8" s="260" customFormat="1" ht="18" customHeight="1">
      <c r="A12" s="442" t="s">
        <v>26</v>
      </c>
      <c r="B12" s="453">
        <v>2005</v>
      </c>
      <c r="C12" s="453">
        <v>2133</v>
      </c>
      <c r="D12" s="108">
        <f t="shared" si="0"/>
        <v>-6.000937646507268</v>
      </c>
      <c r="E12" s="183" t="s">
        <v>27</v>
      </c>
      <c r="F12" s="453">
        <v>8516</v>
      </c>
      <c r="G12" s="453">
        <v>7200</v>
      </c>
      <c r="H12" s="108">
        <f t="shared" si="1"/>
        <v>18.27777777777777</v>
      </c>
    </row>
    <row r="13" spans="1:8" s="260" customFormat="1" ht="18" customHeight="1">
      <c r="A13" s="442" t="s">
        <v>28</v>
      </c>
      <c r="B13" s="453">
        <v>1861</v>
      </c>
      <c r="C13" s="453">
        <f>1332+201</f>
        <v>1533</v>
      </c>
      <c r="D13" s="108">
        <f t="shared" si="0"/>
        <v>21.39595564253098</v>
      </c>
      <c r="E13" s="183" t="s">
        <v>29</v>
      </c>
      <c r="F13" s="453">
        <v>6186</v>
      </c>
      <c r="G13" s="453">
        <v>3877</v>
      </c>
      <c r="H13" s="108">
        <f t="shared" si="1"/>
        <v>59.55635800876965</v>
      </c>
    </row>
    <row r="14" spans="1:8" s="260" customFormat="1" ht="18" customHeight="1">
      <c r="A14" s="442" t="s">
        <v>30</v>
      </c>
      <c r="B14" s="453">
        <v>3125</v>
      </c>
      <c r="C14" s="453">
        <f>2344+18</f>
        <v>2362</v>
      </c>
      <c r="D14" s="108">
        <f t="shared" si="0"/>
        <v>32.303132938187986</v>
      </c>
      <c r="E14" s="183" t="s">
        <v>31</v>
      </c>
      <c r="F14" s="453">
        <v>2572</v>
      </c>
      <c r="G14" s="453">
        <v>21530</v>
      </c>
      <c r="H14" s="108">
        <f t="shared" si="1"/>
        <v>-88.05387830933581</v>
      </c>
    </row>
    <row r="15" spans="1:8" s="260" customFormat="1" ht="18" customHeight="1">
      <c r="A15" s="442" t="s">
        <v>32</v>
      </c>
      <c r="B15" s="453">
        <v>4630</v>
      </c>
      <c r="C15" s="453">
        <f>3577+138</f>
        <v>3715</v>
      </c>
      <c r="D15" s="108">
        <f t="shared" si="0"/>
        <v>24.62987886944819</v>
      </c>
      <c r="E15" s="183" t="s">
        <v>33</v>
      </c>
      <c r="F15" s="453">
        <v>106161</v>
      </c>
      <c r="G15" s="453">
        <f>108291+40416</f>
        <v>148707</v>
      </c>
      <c r="H15" s="108">
        <f t="shared" si="1"/>
        <v>-28.610623575218384</v>
      </c>
    </row>
    <row r="16" spans="1:8" s="260" customFormat="1" ht="18" customHeight="1">
      <c r="A16" s="442" t="s">
        <v>34</v>
      </c>
      <c r="B16" s="453"/>
      <c r="C16" s="453"/>
      <c r="D16" s="108"/>
      <c r="E16" s="183" t="s">
        <v>35</v>
      </c>
      <c r="F16" s="453">
        <v>5439</v>
      </c>
      <c r="G16" s="453">
        <v>2938</v>
      </c>
      <c r="H16" s="108">
        <f t="shared" si="1"/>
        <v>85.12593601089176</v>
      </c>
    </row>
    <row r="17" spans="1:8" s="260" customFormat="1" ht="18" customHeight="1">
      <c r="A17" s="183" t="s">
        <v>36</v>
      </c>
      <c r="B17" s="453">
        <v>332</v>
      </c>
      <c r="C17" s="453">
        <v>2668</v>
      </c>
      <c r="D17" s="108">
        <f aca="true" t="shared" si="2" ref="D17:D22">B17/C17*100-100</f>
        <v>-87.55622188905548</v>
      </c>
      <c r="E17" s="183" t="s">
        <v>37</v>
      </c>
      <c r="F17" s="453">
        <v>298</v>
      </c>
      <c r="G17" s="453">
        <v>488</v>
      </c>
      <c r="H17" s="108">
        <f t="shared" si="1"/>
        <v>-38.934426229508205</v>
      </c>
    </row>
    <row r="18" spans="1:8" s="260" customFormat="1" ht="18" customHeight="1">
      <c r="A18" s="442" t="s">
        <v>38</v>
      </c>
      <c r="B18" s="453">
        <v>22158</v>
      </c>
      <c r="C18" s="453">
        <f>18260+380</f>
        <v>18640</v>
      </c>
      <c r="D18" s="108">
        <f t="shared" si="2"/>
        <v>18.8733905579399</v>
      </c>
      <c r="E18" s="183" t="s">
        <v>39</v>
      </c>
      <c r="F18" s="453">
        <v>41733</v>
      </c>
      <c r="G18" s="453">
        <f>44726+17743</f>
        <v>62469</v>
      </c>
      <c r="H18" s="108">
        <f t="shared" si="1"/>
        <v>-33.19406425587091</v>
      </c>
    </row>
    <row r="19" spans="1:8" s="260" customFormat="1" ht="18" customHeight="1">
      <c r="A19" s="183" t="s">
        <v>42</v>
      </c>
      <c r="B19" s="453">
        <f>SUM(B20:B25)</f>
        <v>26330</v>
      </c>
      <c r="C19" s="453">
        <f>SUM(C20:C25)</f>
        <v>28809</v>
      </c>
      <c r="D19" s="108">
        <f t="shared" si="2"/>
        <v>-8.604949842063249</v>
      </c>
      <c r="E19" s="183" t="s">
        <v>41</v>
      </c>
      <c r="F19" s="453">
        <v>1905</v>
      </c>
      <c r="G19" s="453">
        <v>1459</v>
      </c>
      <c r="H19" s="108">
        <f t="shared" si="1"/>
        <v>30.56888279643593</v>
      </c>
    </row>
    <row r="20" spans="1:8" s="260" customFormat="1" ht="18" customHeight="1">
      <c r="A20" s="461" t="s">
        <v>44</v>
      </c>
      <c r="B20" s="453">
        <v>4241</v>
      </c>
      <c r="C20" s="453">
        <f>3105+148</f>
        <v>3253</v>
      </c>
      <c r="D20" s="108">
        <f t="shared" si="2"/>
        <v>30.371964340608656</v>
      </c>
      <c r="E20" s="183" t="s">
        <v>43</v>
      </c>
      <c r="F20" s="453">
        <v>20</v>
      </c>
      <c r="G20" s="453">
        <v>0</v>
      </c>
      <c r="H20" s="108">
        <v>0</v>
      </c>
    </row>
    <row r="21" spans="1:8" s="260" customFormat="1" ht="18" customHeight="1">
      <c r="A21" s="461" t="s">
        <v>46</v>
      </c>
      <c r="B21" s="453">
        <v>16866</v>
      </c>
      <c r="C21" s="453">
        <v>14310</v>
      </c>
      <c r="D21" s="108">
        <f t="shared" si="2"/>
        <v>17.861635220125777</v>
      </c>
      <c r="E21" s="183" t="s">
        <v>45</v>
      </c>
      <c r="F21" s="453"/>
      <c r="G21" s="453"/>
      <c r="H21" s="108"/>
    </row>
    <row r="22" spans="1:8" s="260" customFormat="1" ht="18" customHeight="1">
      <c r="A22" s="461" t="s">
        <v>48</v>
      </c>
      <c r="B22" s="453">
        <v>84</v>
      </c>
      <c r="C22" s="453">
        <f>791+2</f>
        <v>793</v>
      </c>
      <c r="D22" s="108">
        <f t="shared" si="2"/>
        <v>-89.40731399747793</v>
      </c>
      <c r="E22" s="183" t="s">
        <v>47</v>
      </c>
      <c r="F22" s="453">
        <v>196</v>
      </c>
      <c r="G22" s="453">
        <v>158</v>
      </c>
      <c r="H22" s="108">
        <f aca="true" t="shared" si="3" ref="H22:H26">F22/G22*100-100</f>
        <v>24.0506329113924</v>
      </c>
    </row>
    <row r="23" spans="1:8" s="260" customFormat="1" ht="18" customHeight="1">
      <c r="A23" s="461" t="s">
        <v>50</v>
      </c>
      <c r="B23" s="453"/>
      <c r="C23" s="453"/>
      <c r="D23" s="108"/>
      <c r="E23" s="183" t="s">
        <v>49</v>
      </c>
      <c r="F23" s="453">
        <v>2533</v>
      </c>
      <c r="G23" s="453">
        <v>1456</v>
      </c>
      <c r="H23" s="108">
        <f t="shared" si="3"/>
        <v>73.96978021978023</v>
      </c>
    </row>
    <row r="24" spans="1:8" s="260" customFormat="1" ht="18" customHeight="1">
      <c r="A24" s="461" t="s">
        <v>52</v>
      </c>
      <c r="B24" s="453">
        <v>5134</v>
      </c>
      <c r="C24" s="453">
        <f>10424+29</f>
        <v>10453</v>
      </c>
      <c r="D24" s="108">
        <f>B24/C24*100-100</f>
        <v>-50.884913421984116</v>
      </c>
      <c r="E24" s="266" t="s">
        <v>51</v>
      </c>
      <c r="F24" s="453"/>
      <c r="G24" s="453"/>
      <c r="H24" s="108"/>
    </row>
    <row r="25" spans="1:8" s="260" customFormat="1" ht="18" customHeight="1">
      <c r="A25" s="461" t="s">
        <v>54</v>
      </c>
      <c r="B25" s="453">
        <v>5</v>
      </c>
      <c r="C25" s="453"/>
      <c r="D25" s="108"/>
      <c r="E25" s="266" t="s">
        <v>53</v>
      </c>
      <c r="F25" s="453">
        <v>8064</v>
      </c>
      <c r="G25" s="453">
        <v>129</v>
      </c>
      <c r="H25" s="108">
        <f t="shared" si="3"/>
        <v>6151.162790697674</v>
      </c>
    </row>
    <row r="26" spans="1:8" s="260" customFormat="1" ht="18" customHeight="1">
      <c r="A26" s="293"/>
      <c r="B26" s="293"/>
      <c r="C26" s="293"/>
      <c r="D26" s="293"/>
      <c r="E26" s="266" t="s">
        <v>55</v>
      </c>
      <c r="F26" s="453">
        <v>1539</v>
      </c>
      <c r="G26" s="453">
        <v>47</v>
      </c>
      <c r="H26" s="108">
        <f t="shared" si="3"/>
        <v>3174.4680851063827</v>
      </c>
    </row>
    <row r="27" spans="1:8" s="260" customFormat="1" ht="18" customHeight="1">
      <c r="A27" s="293"/>
      <c r="B27" s="293"/>
      <c r="C27" s="293"/>
      <c r="D27" s="293"/>
      <c r="E27" s="183"/>
      <c r="F27" s="453"/>
      <c r="G27" s="453"/>
      <c r="H27" s="108"/>
    </row>
    <row r="28" spans="1:8" s="260" customFormat="1" ht="18" customHeight="1">
      <c r="A28" s="266"/>
      <c r="B28" s="453"/>
      <c r="C28" s="453"/>
      <c r="D28" s="108"/>
      <c r="E28" s="461"/>
      <c r="F28" s="453"/>
      <c r="G28" s="453"/>
      <c r="H28" s="108"/>
    </row>
    <row r="29" spans="1:8" s="260" customFormat="1" ht="18" customHeight="1">
      <c r="A29" s="175" t="s">
        <v>56</v>
      </c>
      <c r="B29" s="453">
        <f>B5+B19</f>
        <v>168386</v>
      </c>
      <c r="C29" s="453">
        <f>C5+C19</f>
        <v>134611</v>
      </c>
      <c r="D29" s="108">
        <f>B29/C29*100-100</f>
        <v>25.09081724376165</v>
      </c>
      <c r="E29" s="189" t="s">
        <v>57</v>
      </c>
      <c r="F29" s="453">
        <f>SUM(F5:F26)</f>
        <v>259030</v>
      </c>
      <c r="G29" s="453">
        <f>SUM(G5:G26)</f>
        <v>305256</v>
      </c>
      <c r="H29" s="108">
        <f>F29/G29*100-100</f>
        <v>-15.14335508556752</v>
      </c>
    </row>
    <row r="30" ht="19.5" customHeight="1">
      <c r="A30" s="464"/>
    </row>
  </sheetData>
  <sheetProtection/>
  <mergeCells count="2">
    <mergeCell ref="A2:H2"/>
    <mergeCell ref="G3:H3"/>
  </mergeCells>
  <printOptions horizontalCentered="1" verticalCentered="1"/>
  <pageMargins left="0.39" right="0.39" top="0.16" bottom="0.2" header="0.31" footer="0.24"/>
  <pageSetup horizontalDpi="600" verticalDpi="600" orientation="landscape" paperSize="9" scale="95"/>
  <headerFooter scaleWithDoc="0" alignWithMargins="0">
    <oddFooter>&amp;C—&amp;P+2—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</sheetPr>
  <dimension ref="A1:H30"/>
  <sheetViews>
    <sheetView showZeros="0" workbookViewId="0" topLeftCell="A1">
      <selection activeCell="A2" sqref="A2:H2"/>
    </sheetView>
  </sheetViews>
  <sheetFormatPr defaultColWidth="9.00390625" defaultRowHeight="19.5" customHeight="1"/>
  <cols>
    <col min="1" max="1" width="27.50390625" style="32" customWidth="1"/>
    <col min="2" max="3" width="12.625" style="168" customWidth="1"/>
    <col min="4" max="4" width="12.625" style="287" customWidth="1"/>
    <col min="5" max="5" width="33.00390625" style="32" customWidth="1"/>
    <col min="6" max="7" width="12.625" style="168" customWidth="1"/>
    <col min="8" max="8" width="12.625" style="287" customWidth="1"/>
  </cols>
  <sheetData>
    <row r="1" ht="19.5" customHeight="1">
      <c r="A1" s="455" t="s">
        <v>64</v>
      </c>
    </row>
    <row r="2" spans="1:8" ht="27" customHeight="1">
      <c r="A2" s="456" t="s">
        <v>65</v>
      </c>
      <c r="B2" s="456"/>
      <c r="C2" s="456"/>
      <c r="D2" s="456"/>
      <c r="E2" s="456"/>
      <c r="F2" s="456"/>
      <c r="G2" s="456"/>
      <c r="H2" s="456"/>
    </row>
    <row r="3" spans="7:8" ht="17.25" customHeight="1">
      <c r="G3" s="457" t="s">
        <v>6</v>
      </c>
      <c r="H3" s="457"/>
    </row>
    <row r="4" spans="1:8" s="269" customFormat="1" ht="26.25" customHeight="1">
      <c r="A4" s="175" t="s">
        <v>7</v>
      </c>
      <c r="B4" s="182" t="s">
        <v>8</v>
      </c>
      <c r="C4" s="182" t="s">
        <v>9</v>
      </c>
      <c r="D4" s="189" t="s">
        <v>10</v>
      </c>
      <c r="E4" s="189" t="s">
        <v>11</v>
      </c>
      <c r="F4" s="182" t="s">
        <v>8</v>
      </c>
      <c r="G4" s="182" t="s">
        <v>9</v>
      </c>
      <c r="H4" s="189" t="s">
        <v>10</v>
      </c>
    </row>
    <row r="5" spans="1:8" s="260" customFormat="1" ht="18" customHeight="1">
      <c r="A5" s="183" t="s">
        <v>12</v>
      </c>
      <c r="B5" s="453">
        <f>SUM(B6:B18)</f>
        <v>200321</v>
      </c>
      <c r="C5" s="453">
        <f>SUM(C6:C18)</f>
        <v>166511</v>
      </c>
      <c r="D5" s="108">
        <f aca="true" t="shared" si="0" ref="D5:D9">B5/C5*100-100</f>
        <v>20.30496483715791</v>
      </c>
      <c r="E5" s="183" t="s">
        <v>13</v>
      </c>
      <c r="F5" s="465">
        <v>31779</v>
      </c>
      <c r="G5" s="466">
        <v>21590</v>
      </c>
      <c r="H5" s="108">
        <f>F5/G5*100-100</f>
        <v>47.19314497452524</v>
      </c>
    </row>
    <row r="6" spans="1:8" s="260" customFormat="1" ht="18" customHeight="1">
      <c r="A6" s="442" t="s">
        <v>14</v>
      </c>
      <c r="B6" s="465">
        <v>52686</v>
      </c>
      <c r="C6" s="466">
        <v>28743</v>
      </c>
      <c r="D6" s="108">
        <f t="shared" si="0"/>
        <v>83.30028180774448</v>
      </c>
      <c r="E6" s="183" t="s">
        <v>15</v>
      </c>
      <c r="F6" s="465">
        <v>0</v>
      </c>
      <c r="G6" s="466"/>
      <c r="H6" s="108"/>
    </row>
    <row r="7" spans="1:8" s="260" customFormat="1" ht="18" customHeight="1">
      <c r="A7" s="442" t="s">
        <v>16</v>
      </c>
      <c r="B7" s="465">
        <v>28277</v>
      </c>
      <c r="C7" s="466">
        <v>51823</v>
      </c>
      <c r="D7" s="108">
        <f t="shared" si="0"/>
        <v>-45.435424425448154</v>
      </c>
      <c r="E7" s="183" t="s">
        <v>17</v>
      </c>
      <c r="F7" s="465">
        <v>26</v>
      </c>
      <c r="G7" s="466">
        <v>21</v>
      </c>
      <c r="H7" s="108">
        <f aca="true" t="shared" si="1" ref="H7:H19">F7/G7*100-100</f>
        <v>23.80952380952381</v>
      </c>
    </row>
    <row r="8" spans="1:8" s="260" customFormat="1" ht="18" customHeight="1">
      <c r="A8" s="442" t="s">
        <v>18</v>
      </c>
      <c r="B8" s="465">
        <v>26325</v>
      </c>
      <c r="C8" s="466">
        <v>21907</v>
      </c>
      <c r="D8" s="108">
        <f t="shared" si="0"/>
        <v>20.1670698863377</v>
      </c>
      <c r="E8" s="183" t="s">
        <v>19</v>
      </c>
      <c r="F8" s="465">
        <v>12393</v>
      </c>
      <c r="G8" s="466">
        <v>10064</v>
      </c>
      <c r="H8" s="108">
        <f t="shared" si="1"/>
        <v>23.141891891891888</v>
      </c>
    </row>
    <row r="9" spans="1:8" s="260" customFormat="1" ht="18" customHeight="1">
      <c r="A9" s="442" t="s">
        <v>20</v>
      </c>
      <c r="B9" s="465">
        <v>15940</v>
      </c>
      <c r="C9" s="466">
        <v>8081</v>
      </c>
      <c r="D9" s="108">
        <f t="shared" si="0"/>
        <v>97.25281524563792</v>
      </c>
      <c r="E9" s="183" t="s">
        <v>21</v>
      </c>
      <c r="F9" s="465">
        <v>24677</v>
      </c>
      <c r="G9" s="466">
        <v>21507</v>
      </c>
      <c r="H9" s="108">
        <f t="shared" si="1"/>
        <v>14.739387176268195</v>
      </c>
    </row>
    <row r="10" spans="1:8" s="260" customFormat="1" ht="18" customHeight="1">
      <c r="A10" s="442" t="s">
        <v>22</v>
      </c>
      <c r="B10" s="465">
        <v>0</v>
      </c>
      <c r="C10" s="466"/>
      <c r="D10" s="108"/>
      <c r="E10" s="183" t="s">
        <v>23</v>
      </c>
      <c r="F10" s="465">
        <v>12883</v>
      </c>
      <c r="G10" s="466">
        <v>14494</v>
      </c>
      <c r="H10" s="108">
        <f t="shared" si="1"/>
        <v>-11.114944114806121</v>
      </c>
    </row>
    <row r="11" spans="1:8" s="260" customFormat="1" ht="18" customHeight="1">
      <c r="A11" s="442" t="s">
        <v>24</v>
      </c>
      <c r="B11" s="465">
        <v>20050</v>
      </c>
      <c r="C11" s="466">
        <v>16541</v>
      </c>
      <c r="D11" s="108">
        <f aca="true" t="shared" si="2" ref="D11:D15">B11/C11*100-100</f>
        <v>21.213953207182158</v>
      </c>
      <c r="E11" s="183" t="s">
        <v>25</v>
      </c>
      <c r="F11" s="465">
        <v>1164</v>
      </c>
      <c r="G11" s="466">
        <v>274</v>
      </c>
      <c r="H11" s="108">
        <f t="shared" si="1"/>
        <v>324.81751824817525</v>
      </c>
    </row>
    <row r="12" spans="1:8" s="260" customFormat="1" ht="18" customHeight="1">
      <c r="A12" s="442" t="s">
        <v>26</v>
      </c>
      <c r="B12" s="465">
        <v>3151</v>
      </c>
      <c r="C12" s="466">
        <v>3061</v>
      </c>
      <c r="D12" s="108">
        <f t="shared" si="2"/>
        <v>2.9402156158118373</v>
      </c>
      <c r="E12" s="183" t="s">
        <v>27</v>
      </c>
      <c r="F12" s="465">
        <v>8311</v>
      </c>
      <c r="G12" s="466">
        <v>8331</v>
      </c>
      <c r="H12" s="108">
        <f t="shared" si="1"/>
        <v>-0.2400672188212667</v>
      </c>
    </row>
    <row r="13" spans="1:8" s="260" customFormat="1" ht="18" customHeight="1">
      <c r="A13" s="442" t="s">
        <v>28</v>
      </c>
      <c r="B13" s="465">
        <v>2396</v>
      </c>
      <c r="C13" s="466">
        <v>1765</v>
      </c>
      <c r="D13" s="108">
        <f t="shared" si="2"/>
        <v>35.750708215297436</v>
      </c>
      <c r="E13" s="183" t="s">
        <v>29</v>
      </c>
      <c r="F13" s="465">
        <v>9258</v>
      </c>
      <c r="G13" s="466">
        <v>8989</v>
      </c>
      <c r="H13" s="108">
        <f t="shared" si="1"/>
        <v>2.9925464456558046</v>
      </c>
    </row>
    <row r="14" spans="1:8" s="260" customFormat="1" ht="18" customHeight="1">
      <c r="A14" s="442" t="s">
        <v>30</v>
      </c>
      <c r="B14" s="465">
        <v>3582</v>
      </c>
      <c r="C14" s="466">
        <v>2814</v>
      </c>
      <c r="D14" s="108">
        <f t="shared" si="2"/>
        <v>27.292110874200432</v>
      </c>
      <c r="E14" s="183" t="s">
        <v>31</v>
      </c>
      <c r="F14" s="465">
        <v>1713</v>
      </c>
      <c r="G14" s="466">
        <v>8384</v>
      </c>
      <c r="H14" s="108">
        <f t="shared" si="1"/>
        <v>-79.5682251908397</v>
      </c>
    </row>
    <row r="15" spans="1:8" s="260" customFormat="1" ht="18" customHeight="1">
      <c r="A15" s="442" t="s">
        <v>32</v>
      </c>
      <c r="B15" s="465">
        <v>9916</v>
      </c>
      <c r="C15" s="466">
        <v>7198</v>
      </c>
      <c r="D15" s="108">
        <f t="shared" si="2"/>
        <v>37.76048902472908</v>
      </c>
      <c r="E15" s="183" t="s">
        <v>33</v>
      </c>
      <c r="F15" s="465">
        <v>86948</v>
      </c>
      <c r="G15" s="466">
        <v>79364</v>
      </c>
      <c r="H15" s="108">
        <f t="shared" si="1"/>
        <v>9.55596996119148</v>
      </c>
    </row>
    <row r="16" spans="1:8" s="260" customFormat="1" ht="18" customHeight="1">
      <c r="A16" s="442" t="s">
        <v>34</v>
      </c>
      <c r="B16" s="465">
        <v>0</v>
      </c>
      <c r="C16" s="466"/>
      <c r="D16" s="108"/>
      <c r="E16" s="183" t="s">
        <v>35</v>
      </c>
      <c r="F16" s="465">
        <v>5611</v>
      </c>
      <c r="G16" s="466">
        <v>5582</v>
      </c>
      <c r="H16" s="108">
        <f t="shared" si="1"/>
        <v>0.5195270512361247</v>
      </c>
    </row>
    <row r="17" spans="1:8" s="260" customFormat="1" ht="18" customHeight="1">
      <c r="A17" s="183" t="s">
        <v>36</v>
      </c>
      <c r="B17" s="465">
        <v>378</v>
      </c>
      <c r="C17" s="466">
        <v>1621</v>
      </c>
      <c r="D17" s="108">
        <f aca="true" t="shared" si="3" ref="D17:D22">B17/C17*100-100</f>
        <v>-76.68106107341147</v>
      </c>
      <c r="E17" s="183" t="s">
        <v>37</v>
      </c>
      <c r="F17" s="465">
        <v>308</v>
      </c>
      <c r="G17" s="466">
        <v>867</v>
      </c>
      <c r="H17" s="108">
        <f t="shared" si="1"/>
        <v>-64.47520184544405</v>
      </c>
    </row>
    <row r="18" spans="1:8" s="260" customFormat="1" ht="18" customHeight="1">
      <c r="A18" s="442" t="s">
        <v>38</v>
      </c>
      <c r="B18" s="465">
        <v>37620</v>
      </c>
      <c r="C18" s="466">
        <v>22957</v>
      </c>
      <c r="D18" s="108">
        <f t="shared" si="3"/>
        <v>63.8715860086248</v>
      </c>
      <c r="E18" s="183" t="s">
        <v>39</v>
      </c>
      <c r="F18" s="465">
        <v>60934</v>
      </c>
      <c r="G18" s="466">
        <v>52272</v>
      </c>
      <c r="H18" s="108">
        <f t="shared" si="1"/>
        <v>16.571013161922238</v>
      </c>
    </row>
    <row r="19" spans="1:8" s="260" customFormat="1" ht="18" customHeight="1">
      <c r="A19" s="183" t="s">
        <v>42</v>
      </c>
      <c r="B19" s="453">
        <f>B20+B21+B22+B23+B24+B25</f>
        <v>11927</v>
      </c>
      <c r="C19" s="453">
        <f>C20+C21+C22+C23+C24+C25</f>
        <v>22499</v>
      </c>
      <c r="D19" s="108">
        <f t="shared" si="3"/>
        <v>-46.98875505578025</v>
      </c>
      <c r="E19" s="183" t="s">
        <v>41</v>
      </c>
      <c r="F19" s="465">
        <v>11000</v>
      </c>
      <c r="G19" s="466">
        <v>14802</v>
      </c>
      <c r="H19" s="108">
        <f t="shared" si="1"/>
        <v>-25.68571814619645</v>
      </c>
    </row>
    <row r="20" spans="1:8" s="260" customFormat="1" ht="18" customHeight="1">
      <c r="A20" s="461" t="s">
        <v>44</v>
      </c>
      <c r="B20" s="465">
        <v>4557</v>
      </c>
      <c r="C20" s="467">
        <v>4347</v>
      </c>
      <c r="D20" s="108">
        <f t="shared" si="3"/>
        <v>4.830917874396135</v>
      </c>
      <c r="E20" s="183" t="s">
        <v>43</v>
      </c>
      <c r="F20" s="465">
        <v>0</v>
      </c>
      <c r="G20" s="466">
        <v>0</v>
      </c>
      <c r="H20" s="108"/>
    </row>
    <row r="21" spans="1:8" s="260" customFormat="1" ht="18" customHeight="1">
      <c r="A21" s="461" t="s">
        <v>46</v>
      </c>
      <c r="B21" s="465">
        <v>5298</v>
      </c>
      <c r="C21" s="466">
        <v>15149</v>
      </c>
      <c r="D21" s="108">
        <f t="shared" si="3"/>
        <v>-65.02739454749488</v>
      </c>
      <c r="E21" s="183" t="s">
        <v>45</v>
      </c>
      <c r="F21" s="465">
        <v>0</v>
      </c>
      <c r="G21" s="466"/>
      <c r="H21" s="108"/>
    </row>
    <row r="22" spans="1:8" s="260" customFormat="1" ht="18" customHeight="1">
      <c r="A22" s="461" t="s">
        <v>48</v>
      </c>
      <c r="B22" s="465">
        <v>5</v>
      </c>
      <c r="C22" s="466">
        <v>510</v>
      </c>
      <c r="D22" s="108">
        <f t="shared" si="3"/>
        <v>-99.01960784313725</v>
      </c>
      <c r="E22" s="183" t="s">
        <v>47</v>
      </c>
      <c r="F22" s="465">
        <v>268</v>
      </c>
      <c r="G22" s="466">
        <v>244</v>
      </c>
      <c r="H22" s="108">
        <f aca="true" t="shared" si="4" ref="H22:H26">F22/G22*100-100</f>
        <v>9.836065573770497</v>
      </c>
    </row>
    <row r="23" spans="1:8" s="260" customFormat="1" ht="18" customHeight="1">
      <c r="A23" s="461" t="s">
        <v>50</v>
      </c>
      <c r="B23" s="465">
        <v>0</v>
      </c>
      <c r="C23" s="466"/>
      <c r="D23" s="108"/>
      <c r="E23" s="183" t="s">
        <v>49</v>
      </c>
      <c r="F23" s="465">
        <v>1738</v>
      </c>
      <c r="G23" s="466">
        <v>4487</v>
      </c>
      <c r="H23" s="108">
        <f t="shared" si="4"/>
        <v>-61.265879206596836</v>
      </c>
    </row>
    <row r="24" spans="1:8" s="260" customFormat="1" ht="18" customHeight="1">
      <c r="A24" s="461" t="s">
        <v>52</v>
      </c>
      <c r="B24" s="465">
        <v>1015</v>
      </c>
      <c r="C24" s="466">
        <v>1743</v>
      </c>
      <c r="D24" s="108">
        <f aca="true" t="shared" si="5" ref="D24:D29">B24/C24*100-100</f>
        <v>-41.76706827309237</v>
      </c>
      <c r="E24" s="266" t="s">
        <v>51</v>
      </c>
      <c r="F24" s="465">
        <v>411</v>
      </c>
      <c r="G24" s="466">
        <v>214</v>
      </c>
      <c r="H24" s="108">
        <f t="shared" si="4"/>
        <v>92.05607476635512</v>
      </c>
    </row>
    <row r="25" spans="1:8" s="260" customFormat="1" ht="18" customHeight="1">
      <c r="A25" s="461" t="s">
        <v>54</v>
      </c>
      <c r="B25" s="465">
        <v>1052</v>
      </c>
      <c r="C25" s="453">
        <v>750</v>
      </c>
      <c r="D25" s="108">
        <f t="shared" si="5"/>
        <v>40.26666666666668</v>
      </c>
      <c r="E25" s="266" t="s">
        <v>53</v>
      </c>
      <c r="F25" s="465">
        <v>4097</v>
      </c>
      <c r="G25" s="466">
        <v>146</v>
      </c>
      <c r="H25" s="108">
        <f t="shared" si="4"/>
        <v>2706.1643835616437</v>
      </c>
    </row>
    <row r="26" spans="1:8" s="260" customFormat="1" ht="18" customHeight="1">
      <c r="A26" s="293"/>
      <c r="B26" s="293"/>
      <c r="C26" s="293"/>
      <c r="D26" s="293"/>
      <c r="E26" s="266" t="s">
        <v>55</v>
      </c>
      <c r="F26" s="465">
        <v>642</v>
      </c>
      <c r="G26" s="466">
        <v>796</v>
      </c>
      <c r="H26" s="108">
        <f t="shared" si="4"/>
        <v>-19.346733668341713</v>
      </c>
    </row>
    <row r="27" spans="1:8" s="260" customFormat="1" ht="18" customHeight="1">
      <c r="A27" s="293"/>
      <c r="B27" s="293"/>
      <c r="C27" s="293"/>
      <c r="D27" s="293"/>
      <c r="E27" s="266"/>
      <c r="F27" s="187"/>
      <c r="G27" s="187"/>
      <c r="H27" s="108"/>
    </row>
    <row r="28" spans="1:8" s="260" customFormat="1" ht="18" customHeight="1">
      <c r="A28" s="468"/>
      <c r="B28" s="187"/>
      <c r="C28" s="187"/>
      <c r="D28" s="108"/>
      <c r="E28" s="461"/>
      <c r="F28" s="187"/>
      <c r="G28" s="187"/>
      <c r="H28" s="108"/>
    </row>
    <row r="29" spans="1:8" s="260" customFormat="1" ht="18" customHeight="1">
      <c r="A29" s="175" t="s">
        <v>56</v>
      </c>
      <c r="B29" s="187">
        <f>B5+B19</f>
        <v>212248</v>
      </c>
      <c r="C29" s="187">
        <f>C5+C19</f>
        <v>189010</v>
      </c>
      <c r="D29" s="108">
        <f t="shared" si="5"/>
        <v>12.294587587958318</v>
      </c>
      <c r="E29" s="189" t="s">
        <v>57</v>
      </c>
      <c r="F29" s="187">
        <f>SUM(F5:F26)</f>
        <v>274161</v>
      </c>
      <c r="G29" s="187">
        <f>SUM(G5:G26)</f>
        <v>252428</v>
      </c>
      <c r="H29" s="108">
        <f>F29/G29*100-100</f>
        <v>8.609583722883357</v>
      </c>
    </row>
    <row r="30" ht="19.5" customHeight="1">
      <c r="A30" s="464"/>
    </row>
  </sheetData>
  <sheetProtection/>
  <mergeCells count="2">
    <mergeCell ref="A2:H2"/>
    <mergeCell ref="G3:H3"/>
  </mergeCells>
  <printOptions horizontalCentered="1" verticalCentered="1"/>
  <pageMargins left="0.39" right="0.39" top="0.16" bottom="0.2" header="0.31" footer="0.24"/>
  <pageSetup horizontalDpi="600" verticalDpi="600" orientation="landscape" paperSize="9" scale="95"/>
  <headerFooter scaleWithDoc="0" alignWithMargins="0">
    <oddFooter>&amp;C—&amp;P+3—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3"/>
  </sheetPr>
  <dimension ref="A1:H30"/>
  <sheetViews>
    <sheetView showZeros="0" workbookViewId="0" topLeftCell="A1">
      <selection activeCell="A2" sqref="A2:H2"/>
    </sheetView>
  </sheetViews>
  <sheetFormatPr defaultColWidth="9.00390625" defaultRowHeight="19.5" customHeight="1"/>
  <cols>
    <col min="1" max="1" width="27.50390625" style="32" customWidth="1"/>
    <col min="2" max="3" width="12.625" style="168" customWidth="1"/>
    <col min="4" max="4" width="12.625" style="287" customWidth="1"/>
    <col min="5" max="5" width="33.00390625" style="32" customWidth="1"/>
    <col min="6" max="7" width="12.625" style="168" customWidth="1"/>
    <col min="8" max="8" width="12.625" style="287" customWidth="1"/>
  </cols>
  <sheetData>
    <row r="1" ht="19.5" customHeight="1">
      <c r="A1" s="455" t="s">
        <v>66</v>
      </c>
    </row>
    <row r="2" spans="1:8" ht="27" customHeight="1">
      <c r="A2" s="456" t="s">
        <v>67</v>
      </c>
      <c r="B2" s="456"/>
      <c r="C2" s="456"/>
      <c r="D2" s="456"/>
      <c r="E2" s="456"/>
      <c r="F2" s="456"/>
      <c r="G2" s="456"/>
      <c r="H2" s="456"/>
    </row>
    <row r="3" spans="7:8" ht="17.25" customHeight="1">
      <c r="G3" s="457" t="s">
        <v>6</v>
      </c>
      <c r="H3" s="457"/>
    </row>
    <row r="4" spans="1:8" s="269" customFormat="1" ht="26.25" customHeight="1">
      <c r="A4" s="175" t="s">
        <v>7</v>
      </c>
      <c r="B4" s="182" t="s">
        <v>8</v>
      </c>
      <c r="C4" s="182" t="s">
        <v>9</v>
      </c>
      <c r="D4" s="189" t="s">
        <v>10</v>
      </c>
      <c r="E4" s="189" t="s">
        <v>11</v>
      </c>
      <c r="F4" s="182" t="s">
        <v>8</v>
      </c>
      <c r="G4" s="182" t="s">
        <v>9</v>
      </c>
      <c r="H4" s="189" t="s">
        <v>10</v>
      </c>
    </row>
    <row r="5" spans="1:8" s="260" customFormat="1" ht="18" customHeight="1">
      <c r="A5" s="183" t="s">
        <v>12</v>
      </c>
      <c r="B5" s="453">
        <f>SUM(B6:B18)</f>
        <v>335634</v>
      </c>
      <c r="C5" s="458">
        <f>SUM(C6:C18)</f>
        <v>317865</v>
      </c>
      <c r="D5" s="108">
        <f aca="true" t="shared" si="0" ref="D5:D9">B5/C5*100-100</f>
        <v>5.590109008541361</v>
      </c>
      <c r="E5" s="183" t="s">
        <v>13</v>
      </c>
      <c r="F5" s="459">
        <v>36270</v>
      </c>
      <c r="G5" s="453">
        <v>25253</v>
      </c>
      <c r="H5" s="108">
        <f>F5/G5*100-100</f>
        <v>43.62649982180335</v>
      </c>
    </row>
    <row r="6" spans="1:8" s="260" customFormat="1" ht="18" customHeight="1">
      <c r="A6" s="442" t="s">
        <v>14</v>
      </c>
      <c r="B6" s="459">
        <v>37804</v>
      </c>
      <c r="C6" s="458">
        <v>9127</v>
      </c>
      <c r="D6" s="108">
        <f t="shared" si="0"/>
        <v>314.1996274789087</v>
      </c>
      <c r="E6" s="183" t="s">
        <v>15</v>
      </c>
      <c r="F6" s="459">
        <v>0</v>
      </c>
      <c r="G6" s="453"/>
      <c r="H6" s="108"/>
    </row>
    <row r="7" spans="1:8" s="260" customFormat="1" ht="18" customHeight="1">
      <c r="A7" s="442" t="s">
        <v>16</v>
      </c>
      <c r="B7" s="459">
        <v>69955</v>
      </c>
      <c r="C7" s="458">
        <v>100314</v>
      </c>
      <c r="D7" s="108">
        <f t="shared" si="0"/>
        <v>-30.263971130649765</v>
      </c>
      <c r="E7" s="183" t="s">
        <v>17</v>
      </c>
      <c r="F7" s="459">
        <v>0</v>
      </c>
      <c r="G7" s="453"/>
      <c r="H7" s="108"/>
    </row>
    <row r="8" spans="1:8" s="260" customFormat="1" ht="18" customHeight="1">
      <c r="A8" s="442" t="s">
        <v>18</v>
      </c>
      <c r="B8" s="459">
        <v>70437</v>
      </c>
      <c r="C8" s="458">
        <v>48282</v>
      </c>
      <c r="D8" s="108">
        <f t="shared" si="0"/>
        <v>45.88666583820057</v>
      </c>
      <c r="E8" s="183" t="s">
        <v>19</v>
      </c>
      <c r="F8" s="459">
        <v>16314</v>
      </c>
      <c r="G8" s="453">
        <v>9405</v>
      </c>
      <c r="H8" s="108">
        <f aca="true" t="shared" si="1" ref="H8:H19">F8/G8*100-100</f>
        <v>73.4609250398724</v>
      </c>
    </row>
    <row r="9" spans="1:8" s="260" customFormat="1" ht="18" customHeight="1">
      <c r="A9" s="442" t="s">
        <v>20</v>
      </c>
      <c r="B9" s="459">
        <v>9271</v>
      </c>
      <c r="C9" s="458">
        <v>6499</v>
      </c>
      <c r="D9" s="108">
        <f t="shared" si="0"/>
        <v>42.652715802431146</v>
      </c>
      <c r="E9" s="183" t="s">
        <v>21</v>
      </c>
      <c r="F9" s="459">
        <v>43808</v>
      </c>
      <c r="G9" s="453">
        <v>34281</v>
      </c>
      <c r="H9" s="108">
        <f t="shared" si="1"/>
        <v>27.790904582713452</v>
      </c>
    </row>
    <row r="10" spans="1:8" s="260" customFormat="1" ht="18" customHeight="1">
      <c r="A10" s="442" t="s">
        <v>22</v>
      </c>
      <c r="B10" s="459">
        <v>1</v>
      </c>
      <c r="C10" s="458"/>
      <c r="D10" s="108"/>
      <c r="E10" s="183" t="s">
        <v>23</v>
      </c>
      <c r="F10" s="459">
        <v>663</v>
      </c>
      <c r="G10" s="453">
        <v>161</v>
      </c>
      <c r="H10" s="108">
        <f t="shared" si="1"/>
        <v>311.80124223602485</v>
      </c>
    </row>
    <row r="11" spans="1:8" s="260" customFormat="1" ht="18" customHeight="1">
      <c r="A11" s="442" t="s">
        <v>24</v>
      </c>
      <c r="B11" s="459">
        <v>21277</v>
      </c>
      <c r="C11" s="458">
        <v>15812</v>
      </c>
      <c r="D11" s="108">
        <f aca="true" t="shared" si="2" ref="D11:D15">B11/C11*100-100</f>
        <v>34.56235770301038</v>
      </c>
      <c r="E11" s="183" t="s">
        <v>25</v>
      </c>
      <c r="F11" s="459">
        <v>1220</v>
      </c>
      <c r="G11" s="453">
        <v>689</v>
      </c>
      <c r="H11" s="108">
        <f t="shared" si="1"/>
        <v>77.06821480406384</v>
      </c>
    </row>
    <row r="12" spans="1:8" s="260" customFormat="1" ht="18" customHeight="1">
      <c r="A12" s="442" t="s">
        <v>26</v>
      </c>
      <c r="B12" s="459">
        <v>5463</v>
      </c>
      <c r="C12" s="458">
        <v>3830</v>
      </c>
      <c r="D12" s="108">
        <f t="shared" si="2"/>
        <v>42.637075718015666</v>
      </c>
      <c r="E12" s="183" t="s">
        <v>27</v>
      </c>
      <c r="F12" s="459">
        <v>7886</v>
      </c>
      <c r="G12" s="453">
        <v>4264</v>
      </c>
      <c r="H12" s="108">
        <f t="shared" si="1"/>
        <v>84.94371482176359</v>
      </c>
    </row>
    <row r="13" spans="1:8" s="260" customFormat="1" ht="18" customHeight="1">
      <c r="A13" s="442" t="s">
        <v>28</v>
      </c>
      <c r="B13" s="459">
        <v>2229</v>
      </c>
      <c r="C13" s="458">
        <v>1671</v>
      </c>
      <c r="D13" s="108">
        <f t="shared" si="2"/>
        <v>33.3931777378815</v>
      </c>
      <c r="E13" s="183" t="s">
        <v>29</v>
      </c>
      <c r="F13" s="459">
        <v>7058</v>
      </c>
      <c r="G13" s="453">
        <v>7039</v>
      </c>
      <c r="H13" s="108">
        <f t="shared" si="1"/>
        <v>0.2699247052138105</v>
      </c>
    </row>
    <row r="14" spans="1:8" s="260" customFormat="1" ht="18" customHeight="1">
      <c r="A14" s="442" t="s">
        <v>30</v>
      </c>
      <c r="B14" s="459">
        <v>3132</v>
      </c>
      <c r="C14" s="458">
        <v>3404</v>
      </c>
      <c r="D14" s="108">
        <f t="shared" si="2"/>
        <v>-7.990599294947117</v>
      </c>
      <c r="E14" s="183" t="s">
        <v>31</v>
      </c>
      <c r="F14" s="459">
        <v>823</v>
      </c>
      <c r="G14" s="453">
        <v>730</v>
      </c>
      <c r="H14" s="108">
        <f t="shared" si="1"/>
        <v>12.739726027397253</v>
      </c>
    </row>
    <row r="15" spans="1:8" s="260" customFormat="1" ht="18" customHeight="1">
      <c r="A15" s="442" t="s">
        <v>32</v>
      </c>
      <c r="B15" s="459">
        <v>40440</v>
      </c>
      <c r="C15" s="458">
        <v>37657</v>
      </c>
      <c r="D15" s="108">
        <f t="shared" si="2"/>
        <v>7.390392224553196</v>
      </c>
      <c r="E15" s="183" t="s">
        <v>33</v>
      </c>
      <c r="F15" s="459">
        <v>18498</v>
      </c>
      <c r="G15" s="453">
        <v>12778</v>
      </c>
      <c r="H15" s="108">
        <f t="shared" si="1"/>
        <v>44.76443887932385</v>
      </c>
    </row>
    <row r="16" spans="1:8" s="260" customFormat="1" ht="18" customHeight="1">
      <c r="A16" s="442" t="s">
        <v>34</v>
      </c>
      <c r="B16" s="459">
        <v>0</v>
      </c>
      <c r="C16" s="458"/>
      <c r="D16" s="108"/>
      <c r="E16" s="183" t="s">
        <v>35</v>
      </c>
      <c r="F16" s="459">
        <v>1639</v>
      </c>
      <c r="G16" s="453">
        <v>1294</v>
      </c>
      <c r="H16" s="108">
        <f t="shared" si="1"/>
        <v>26.661514683153015</v>
      </c>
    </row>
    <row r="17" spans="1:8" s="260" customFormat="1" ht="18" customHeight="1">
      <c r="A17" s="183" t="s">
        <v>36</v>
      </c>
      <c r="B17" s="459">
        <v>3173</v>
      </c>
      <c r="C17" s="458">
        <v>25824</v>
      </c>
      <c r="D17" s="108">
        <f aca="true" t="shared" si="3" ref="D17:D22">B17/C17*100-100</f>
        <v>-87.71298017348204</v>
      </c>
      <c r="E17" s="183" t="s">
        <v>37</v>
      </c>
      <c r="F17" s="459">
        <v>263524</v>
      </c>
      <c r="G17" s="453">
        <v>246619</v>
      </c>
      <c r="H17" s="108">
        <f t="shared" si="1"/>
        <v>6.854703003418237</v>
      </c>
    </row>
    <row r="18" spans="1:8" s="260" customFormat="1" ht="18" customHeight="1">
      <c r="A18" s="442" t="s">
        <v>38</v>
      </c>
      <c r="B18" s="459">
        <v>72452</v>
      </c>
      <c r="C18" s="460">
        <v>65445</v>
      </c>
      <c r="D18" s="108">
        <f t="shared" si="3"/>
        <v>10.706700282680103</v>
      </c>
      <c r="E18" s="183" t="s">
        <v>39</v>
      </c>
      <c r="F18" s="459">
        <v>19261</v>
      </c>
      <c r="G18" s="453">
        <v>11506</v>
      </c>
      <c r="H18" s="108">
        <f t="shared" si="1"/>
        <v>67.39961759082217</v>
      </c>
    </row>
    <row r="19" spans="1:8" s="260" customFormat="1" ht="18" customHeight="1">
      <c r="A19" s="183" t="s">
        <v>42</v>
      </c>
      <c r="B19" s="453">
        <f>B20+B21+B22+B23+B24+B25</f>
        <v>20698</v>
      </c>
      <c r="C19" s="458">
        <f>C20+C21+C22+C23+C24+C25</f>
        <v>21836</v>
      </c>
      <c r="D19" s="108">
        <f t="shared" si="3"/>
        <v>-5.2115772119435775</v>
      </c>
      <c r="E19" s="183" t="s">
        <v>41</v>
      </c>
      <c r="F19" s="459">
        <v>2220</v>
      </c>
      <c r="G19" s="453">
        <v>2837</v>
      </c>
      <c r="H19" s="108">
        <f t="shared" si="1"/>
        <v>-21.748325696157906</v>
      </c>
    </row>
    <row r="20" spans="1:8" s="260" customFormat="1" ht="18" customHeight="1">
      <c r="A20" s="461" t="s">
        <v>44</v>
      </c>
      <c r="B20" s="459">
        <v>17466</v>
      </c>
      <c r="C20" s="458">
        <v>13389</v>
      </c>
      <c r="D20" s="108">
        <f t="shared" si="3"/>
        <v>30.450369706475442</v>
      </c>
      <c r="E20" s="183" t="s">
        <v>43</v>
      </c>
      <c r="F20" s="459">
        <v>0</v>
      </c>
      <c r="G20" s="453"/>
      <c r="H20" s="108"/>
    </row>
    <row r="21" spans="1:8" s="260" customFormat="1" ht="18" customHeight="1">
      <c r="A21" s="461" t="s">
        <v>46</v>
      </c>
      <c r="B21" s="459">
        <v>229</v>
      </c>
      <c r="C21" s="458">
        <v>1336</v>
      </c>
      <c r="D21" s="108">
        <f t="shared" si="3"/>
        <v>-82.85928143712574</v>
      </c>
      <c r="E21" s="183" t="s">
        <v>45</v>
      </c>
      <c r="F21" s="459">
        <v>0</v>
      </c>
      <c r="G21" s="453"/>
      <c r="H21" s="108"/>
    </row>
    <row r="22" spans="1:8" s="260" customFormat="1" ht="18" customHeight="1">
      <c r="A22" s="461" t="s">
        <v>48</v>
      </c>
      <c r="B22" s="459">
        <v>931</v>
      </c>
      <c r="C22" s="458">
        <v>363</v>
      </c>
      <c r="D22" s="108">
        <f t="shared" si="3"/>
        <v>156.47382920110192</v>
      </c>
      <c r="E22" s="462" t="s">
        <v>47</v>
      </c>
      <c r="F22" s="459">
        <v>247</v>
      </c>
      <c r="G22" s="453">
        <v>150</v>
      </c>
      <c r="H22" s="108">
        <f aca="true" t="shared" si="4" ref="H22:H26">F22/G22*100-100</f>
        <v>64.66666666666669</v>
      </c>
    </row>
    <row r="23" spans="1:8" s="260" customFormat="1" ht="18" customHeight="1">
      <c r="A23" s="461" t="s">
        <v>50</v>
      </c>
      <c r="B23" s="459"/>
      <c r="C23" s="458">
        <v>6488</v>
      </c>
      <c r="D23" s="108"/>
      <c r="E23" s="183" t="s">
        <v>49</v>
      </c>
      <c r="F23" s="459">
        <v>0</v>
      </c>
      <c r="G23" s="453">
        <v>4000</v>
      </c>
      <c r="H23" s="108"/>
    </row>
    <row r="24" spans="1:8" s="260" customFormat="1" ht="18" customHeight="1">
      <c r="A24" s="461" t="s">
        <v>52</v>
      </c>
      <c r="B24" s="459">
        <v>2072</v>
      </c>
      <c r="C24" s="458">
        <v>250</v>
      </c>
      <c r="D24" s="108">
        <f>B24/C24*100-100</f>
        <v>728.8000000000001</v>
      </c>
      <c r="E24" s="266" t="s">
        <v>51</v>
      </c>
      <c r="F24" s="459">
        <v>0</v>
      </c>
      <c r="G24" s="453"/>
      <c r="H24" s="108"/>
    </row>
    <row r="25" spans="1:8" s="260" customFormat="1" ht="18" customHeight="1">
      <c r="A25" s="461" t="s">
        <v>54</v>
      </c>
      <c r="B25" s="459">
        <v>0</v>
      </c>
      <c r="C25" s="463">
        <v>10</v>
      </c>
      <c r="D25" s="108"/>
      <c r="E25" s="266" t="s">
        <v>53</v>
      </c>
      <c r="F25" s="459">
        <v>2007</v>
      </c>
      <c r="G25" s="453">
        <v>448</v>
      </c>
      <c r="H25" s="108">
        <f t="shared" si="4"/>
        <v>347.99107142857144</v>
      </c>
    </row>
    <row r="26" spans="1:8" s="260" customFormat="1" ht="18" customHeight="1">
      <c r="A26" s="293"/>
      <c r="B26" s="293"/>
      <c r="C26" s="293"/>
      <c r="D26" s="293"/>
      <c r="E26" s="266" t="s">
        <v>55</v>
      </c>
      <c r="F26" s="459">
        <v>1026</v>
      </c>
      <c r="G26" s="453">
        <v>732</v>
      </c>
      <c r="H26" s="108">
        <f t="shared" si="4"/>
        <v>40.1639344262295</v>
      </c>
    </row>
    <row r="27" spans="1:8" s="260" customFormat="1" ht="18" customHeight="1">
      <c r="A27" s="293"/>
      <c r="B27" s="293"/>
      <c r="C27" s="293"/>
      <c r="D27" s="293"/>
      <c r="E27" s="266"/>
      <c r="F27" s="187"/>
      <c r="G27" s="187"/>
      <c r="H27" s="108"/>
    </row>
    <row r="28" spans="1:8" s="260" customFormat="1" ht="18" customHeight="1">
      <c r="A28" s="266"/>
      <c r="B28" s="187"/>
      <c r="C28" s="463"/>
      <c r="D28" s="108"/>
      <c r="E28" s="461"/>
      <c r="F28" s="187"/>
      <c r="G28" s="187"/>
      <c r="H28" s="108"/>
    </row>
    <row r="29" spans="1:8" s="260" customFormat="1" ht="18" customHeight="1">
      <c r="A29" s="175" t="s">
        <v>56</v>
      </c>
      <c r="B29" s="187">
        <f>B5+B19</f>
        <v>356332</v>
      </c>
      <c r="C29" s="463">
        <f>C5+C19</f>
        <v>339701</v>
      </c>
      <c r="D29" s="108">
        <f>B29/C29*100-100</f>
        <v>4.895775991239361</v>
      </c>
      <c r="E29" s="189" t="s">
        <v>57</v>
      </c>
      <c r="F29" s="187">
        <f>SUM(F5:F26)</f>
        <v>422464</v>
      </c>
      <c r="G29" s="187">
        <f>SUM(G5:G26)</f>
        <v>362186</v>
      </c>
      <c r="H29" s="108">
        <f>F29/G29*100-100</f>
        <v>16.6428299271645</v>
      </c>
    </row>
    <row r="30" ht="19.5" customHeight="1">
      <c r="A30" s="464"/>
    </row>
  </sheetData>
  <sheetProtection/>
  <mergeCells count="2">
    <mergeCell ref="A2:H2"/>
    <mergeCell ref="G3:H3"/>
  </mergeCells>
  <printOptions horizontalCentered="1" verticalCentered="1"/>
  <pageMargins left="0.39" right="0.39" top="0.16" bottom="0.2" header="0.31" footer="0.24"/>
  <pageSetup horizontalDpi="600" verticalDpi="600" orientation="landscape" paperSize="9" scale="95"/>
  <headerFooter scaleWithDoc="0" alignWithMargins="0">
    <oddFooter>&amp;C—&amp;P+4—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3"/>
  </sheetPr>
  <dimension ref="A1:I20"/>
  <sheetViews>
    <sheetView showZeros="0" workbookViewId="0" topLeftCell="A1">
      <selection activeCell="A2" sqref="A2:H2"/>
    </sheetView>
  </sheetViews>
  <sheetFormatPr defaultColWidth="9.00390625" defaultRowHeight="14.25"/>
  <cols>
    <col min="1" max="1" width="19.125" style="32" customWidth="1"/>
    <col min="2" max="2" width="13.125" style="287" hidden="1" customWidth="1"/>
    <col min="3" max="5" width="16.625" style="287" customWidth="1"/>
    <col min="6" max="6" width="16.625" style="447" customWidth="1"/>
    <col min="7" max="8" width="16.625" style="287" customWidth="1"/>
  </cols>
  <sheetData>
    <row r="1" ht="20.25" customHeight="1">
      <c r="A1" s="33" t="s">
        <v>68</v>
      </c>
    </row>
    <row r="2" spans="1:8" ht="30.75" customHeight="1">
      <c r="A2" s="448" t="s">
        <v>69</v>
      </c>
      <c r="B2" s="448"/>
      <c r="C2" s="448"/>
      <c r="D2" s="448"/>
      <c r="E2" s="448"/>
      <c r="F2" s="448"/>
      <c r="G2" s="448"/>
      <c r="H2" s="448"/>
    </row>
    <row r="3" spans="1:8" ht="15.75" customHeight="1">
      <c r="A3" s="449"/>
      <c r="H3" s="450" t="s">
        <v>6</v>
      </c>
    </row>
    <row r="4" spans="1:8" ht="19.5" customHeight="1">
      <c r="A4" s="175" t="s">
        <v>70</v>
      </c>
      <c r="B4" s="44" t="s">
        <v>71</v>
      </c>
      <c r="C4" s="45"/>
      <c r="D4" s="45"/>
      <c r="E4" s="46"/>
      <c r="F4" s="175" t="s">
        <v>72</v>
      </c>
      <c r="G4" s="175"/>
      <c r="H4" s="175"/>
    </row>
    <row r="5" spans="1:9" ht="38.25" customHeight="1">
      <c r="A5" s="175"/>
      <c r="B5" s="189" t="s">
        <v>73</v>
      </c>
      <c r="C5" s="189" t="s">
        <v>8</v>
      </c>
      <c r="D5" s="451" t="s">
        <v>74</v>
      </c>
      <c r="E5" s="189" t="s">
        <v>10</v>
      </c>
      <c r="F5" s="189" t="s">
        <v>8</v>
      </c>
      <c r="G5" s="451" t="s">
        <v>74</v>
      </c>
      <c r="H5" s="189" t="s">
        <v>10</v>
      </c>
      <c r="I5" s="265"/>
    </row>
    <row r="6" spans="1:8" s="260" customFormat="1" ht="22.5" customHeight="1">
      <c r="A6" s="266" t="s">
        <v>75</v>
      </c>
      <c r="B6" s="452">
        <f aca="true" t="shared" si="0" ref="B6:G6">B7+B8</f>
        <v>1700260</v>
      </c>
      <c r="C6" s="453">
        <f t="shared" si="0"/>
        <v>4021831</v>
      </c>
      <c r="D6" s="453">
        <f t="shared" si="0"/>
        <v>3779030</v>
      </c>
      <c r="E6" s="108">
        <f aca="true" t="shared" si="1" ref="E6:E20">C6/D6*100-100</f>
        <v>6.424955610302121</v>
      </c>
      <c r="F6" s="453">
        <f t="shared" si="0"/>
        <v>5876902</v>
      </c>
      <c r="G6" s="453">
        <f t="shared" si="0"/>
        <v>5269418</v>
      </c>
      <c r="H6" s="108">
        <f aca="true" t="shared" si="2" ref="H6:H20">F6/G6*100-100</f>
        <v>11.528483790809531</v>
      </c>
    </row>
    <row r="7" spans="1:8" s="260" customFormat="1" ht="22.5" customHeight="1">
      <c r="A7" s="266" t="s">
        <v>76</v>
      </c>
      <c r="B7" s="452">
        <v>752000</v>
      </c>
      <c r="C7" s="454">
        <v>1576906</v>
      </c>
      <c r="D7" s="453">
        <v>1497571</v>
      </c>
      <c r="E7" s="108">
        <f t="shared" si="1"/>
        <v>5.297578545524729</v>
      </c>
      <c r="F7" s="454">
        <v>1983675</v>
      </c>
      <c r="G7" s="453">
        <v>1814478</v>
      </c>
      <c r="H7" s="108">
        <f t="shared" si="2"/>
        <v>9.324830612440607</v>
      </c>
    </row>
    <row r="8" spans="1:8" s="260" customFormat="1" ht="22.5" customHeight="1">
      <c r="A8" s="266" t="s">
        <v>77</v>
      </c>
      <c r="B8" s="452">
        <f aca="true" t="shared" si="3" ref="B8:G8">SUM(B9:B20)</f>
        <v>948260</v>
      </c>
      <c r="C8" s="453">
        <f t="shared" si="3"/>
        <v>2444925</v>
      </c>
      <c r="D8" s="453">
        <f t="shared" si="3"/>
        <v>2281459</v>
      </c>
      <c r="E8" s="108">
        <f t="shared" si="1"/>
        <v>7.16497644708933</v>
      </c>
      <c r="F8" s="453">
        <f t="shared" si="3"/>
        <v>3893227</v>
      </c>
      <c r="G8" s="453">
        <f t="shared" si="3"/>
        <v>3454940</v>
      </c>
      <c r="H8" s="108">
        <f t="shared" si="2"/>
        <v>12.685806410531015</v>
      </c>
    </row>
    <row r="9" spans="1:8" s="260" customFormat="1" ht="22.5" customHeight="1">
      <c r="A9" s="266" t="s">
        <v>78</v>
      </c>
      <c r="B9" s="452">
        <v>224300</v>
      </c>
      <c r="C9" s="454">
        <v>592397</v>
      </c>
      <c r="D9" s="453">
        <v>579245</v>
      </c>
      <c r="E9" s="108">
        <f t="shared" si="1"/>
        <v>2.2705418259976398</v>
      </c>
      <c r="F9" s="454">
        <v>906373</v>
      </c>
      <c r="G9" s="453">
        <v>789214</v>
      </c>
      <c r="H9" s="108">
        <f t="shared" si="2"/>
        <v>14.845023022906332</v>
      </c>
    </row>
    <row r="10" spans="1:8" s="260" customFormat="1" ht="22.5" customHeight="1">
      <c r="A10" s="266" t="s">
        <v>79</v>
      </c>
      <c r="B10" s="452">
        <v>106500</v>
      </c>
      <c r="C10" s="454">
        <v>286229</v>
      </c>
      <c r="D10" s="453">
        <v>280483</v>
      </c>
      <c r="E10" s="108">
        <f t="shared" si="1"/>
        <v>2.048609006606455</v>
      </c>
      <c r="F10" s="454">
        <v>531816</v>
      </c>
      <c r="G10" s="453">
        <v>496783</v>
      </c>
      <c r="H10" s="108">
        <f t="shared" si="2"/>
        <v>7.051972390359566</v>
      </c>
    </row>
    <row r="11" spans="1:8" s="260" customFormat="1" ht="22.5" customHeight="1">
      <c r="A11" s="266" t="s">
        <v>80</v>
      </c>
      <c r="B11" s="452">
        <v>60060</v>
      </c>
      <c r="C11" s="454">
        <v>147349</v>
      </c>
      <c r="D11" s="453">
        <v>131187</v>
      </c>
      <c r="E11" s="108">
        <f t="shared" si="1"/>
        <v>12.319818274676607</v>
      </c>
      <c r="F11" s="454">
        <v>357393</v>
      </c>
      <c r="G11" s="453">
        <v>310355</v>
      </c>
      <c r="H11" s="108">
        <f t="shared" si="2"/>
        <v>15.1561921025922</v>
      </c>
    </row>
    <row r="12" spans="1:8" s="260" customFormat="1" ht="22.5" customHeight="1">
      <c r="A12" s="266" t="s">
        <v>81</v>
      </c>
      <c r="B12" s="452">
        <v>34220</v>
      </c>
      <c r="C12" s="454">
        <v>93755</v>
      </c>
      <c r="D12" s="453">
        <v>76746</v>
      </c>
      <c r="E12" s="108">
        <f t="shared" si="1"/>
        <v>22.162718578166945</v>
      </c>
      <c r="F12" s="454">
        <v>201107</v>
      </c>
      <c r="G12" s="453">
        <v>163395</v>
      </c>
      <c r="H12" s="108">
        <f t="shared" si="2"/>
        <v>23.08026561400287</v>
      </c>
    </row>
    <row r="13" spans="1:8" s="260" customFormat="1" ht="22.5" customHeight="1">
      <c r="A13" s="266" t="s">
        <v>82</v>
      </c>
      <c r="B13" s="452">
        <v>23200</v>
      </c>
      <c r="C13" s="454">
        <v>62139</v>
      </c>
      <c r="D13" s="453">
        <v>61575</v>
      </c>
      <c r="E13" s="108">
        <f t="shared" si="1"/>
        <v>0.9159561510353171</v>
      </c>
      <c r="F13" s="454">
        <v>115180</v>
      </c>
      <c r="G13" s="453">
        <v>103282</v>
      </c>
      <c r="H13" s="108">
        <f t="shared" si="2"/>
        <v>11.5199163455394</v>
      </c>
    </row>
    <row r="14" spans="1:8" s="260" customFormat="1" ht="22.5" customHeight="1">
      <c r="A14" s="266" t="s">
        <v>83</v>
      </c>
      <c r="B14" s="452">
        <v>90000</v>
      </c>
      <c r="C14" s="454">
        <v>161202</v>
      </c>
      <c r="D14" s="453">
        <v>150088</v>
      </c>
      <c r="E14" s="108">
        <f t="shared" si="1"/>
        <v>7.404989073077118</v>
      </c>
      <c r="F14" s="454">
        <v>232743</v>
      </c>
      <c r="G14" s="453">
        <v>213111</v>
      </c>
      <c r="H14" s="108">
        <f t="shared" si="2"/>
        <v>9.212100736236039</v>
      </c>
    </row>
    <row r="15" spans="1:8" s="260" customFormat="1" ht="22.5" customHeight="1">
      <c r="A15" s="266" t="s">
        <v>84</v>
      </c>
      <c r="B15" s="452">
        <v>71640</v>
      </c>
      <c r="C15" s="454">
        <v>123264</v>
      </c>
      <c r="D15" s="453">
        <v>110096</v>
      </c>
      <c r="E15" s="108">
        <f t="shared" si="1"/>
        <v>11.960470861793354</v>
      </c>
      <c r="F15" s="454">
        <v>200108</v>
      </c>
      <c r="G15" s="453">
        <v>152241</v>
      </c>
      <c r="H15" s="108">
        <f t="shared" si="2"/>
        <v>31.441595890725893</v>
      </c>
    </row>
    <row r="16" spans="1:8" s="260" customFormat="1" ht="22.5" customHeight="1">
      <c r="A16" s="266" t="s">
        <v>85</v>
      </c>
      <c r="B16" s="452">
        <v>78800</v>
      </c>
      <c r="C16" s="454">
        <v>147026</v>
      </c>
      <c r="D16" s="453">
        <v>135433</v>
      </c>
      <c r="E16" s="108">
        <f t="shared" si="1"/>
        <v>8.559952153463342</v>
      </c>
      <c r="F16" s="454">
        <v>252346</v>
      </c>
      <c r="G16" s="453">
        <v>179193</v>
      </c>
      <c r="H16" s="108">
        <f t="shared" si="2"/>
        <v>40.823581278286525</v>
      </c>
    </row>
    <row r="17" spans="1:8" s="260" customFormat="1" ht="22.5" customHeight="1">
      <c r="A17" s="266" t="s">
        <v>86</v>
      </c>
      <c r="B17" s="452">
        <v>45670</v>
      </c>
      <c r="C17" s="454">
        <v>94598</v>
      </c>
      <c r="D17" s="453">
        <v>93284</v>
      </c>
      <c r="E17" s="108">
        <f t="shared" si="1"/>
        <v>1.408601689464433</v>
      </c>
      <c r="F17" s="454">
        <v>140506</v>
      </c>
      <c r="G17" s="453">
        <v>127496</v>
      </c>
      <c r="H17" s="108">
        <f t="shared" si="2"/>
        <v>10.20424170170044</v>
      </c>
    </row>
    <row r="18" spans="1:8" s="260" customFormat="1" ht="22.5" customHeight="1">
      <c r="A18" s="266" t="s">
        <v>87</v>
      </c>
      <c r="B18" s="452">
        <v>57870</v>
      </c>
      <c r="C18" s="454">
        <v>168386</v>
      </c>
      <c r="D18" s="453">
        <f>'表2-2 '!C29</f>
        <v>134611</v>
      </c>
      <c r="E18" s="108">
        <f t="shared" si="1"/>
        <v>25.09081724376165</v>
      </c>
      <c r="F18" s="454">
        <v>259030</v>
      </c>
      <c r="G18" s="453">
        <f>'表2-2 '!G29</f>
        <v>305256</v>
      </c>
      <c r="H18" s="108">
        <f t="shared" si="2"/>
        <v>-15.14335508556752</v>
      </c>
    </row>
    <row r="19" spans="1:8" s="260" customFormat="1" ht="22.5" customHeight="1">
      <c r="A19" s="266" t="s">
        <v>88</v>
      </c>
      <c r="B19" s="452">
        <v>58800</v>
      </c>
      <c r="C19" s="454">
        <v>212248</v>
      </c>
      <c r="D19" s="453">
        <f>'表2-3 '!C29</f>
        <v>189010</v>
      </c>
      <c r="E19" s="108">
        <f t="shared" si="1"/>
        <v>12.294587587958318</v>
      </c>
      <c r="F19" s="454">
        <v>274161</v>
      </c>
      <c r="G19" s="453">
        <f>'表2-3 '!G29</f>
        <v>252428</v>
      </c>
      <c r="H19" s="108">
        <f t="shared" si="2"/>
        <v>8.609583722883357</v>
      </c>
    </row>
    <row r="20" spans="1:8" s="260" customFormat="1" ht="22.5" customHeight="1">
      <c r="A20" s="266" t="s">
        <v>89</v>
      </c>
      <c r="B20" s="452">
        <v>97200</v>
      </c>
      <c r="C20" s="454">
        <v>356332</v>
      </c>
      <c r="D20" s="453">
        <f>'表2-4 '!C29</f>
        <v>339701</v>
      </c>
      <c r="E20" s="108">
        <f t="shared" si="1"/>
        <v>4.895775991239361</v>
      </c>
      <c r="F20" s="454">
        <v>422464</v>
      </c>
      <c r="G20" s="453">
        <f>'表2-4 '!G29</f>
        <v>362186</v>
      </c>
      <c r="H20" s="108">
        <f t="shared" si="2"/>
        <v>16.6428299271645</v>
      </c>
    </row>
  </sheetData>
  <sheetProtection/>
  <mergeCells count="4">
    <mergeCell ref="A2:H2"/>
    <mergeCell ref="B4:E4"/>
    <mergeCell ref="F4:H4"/>
    <mergeCell ref="A4:A5"/>
  </mergeCells>
  <printOptions horizontalCentered="1" verticalCentered="1"/>
  <pageMargins left="0.75" right="0.75" top="0.56" bottom="0.66" header="0.35" footer="0.4"/>
  <pageSetup horizontalDpi="1200" verticalDpi="1200" orientation="landscape" paperSize="9"/>
  <headerFooter scaleWithDoc="0" alignWithMargins="0">
    <oddFooter>&amp;C—&amp;P+5—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I32"/>
  <sheetViews>
    <sheetView showZeros="0" workbookViewId="0" topLeftCell="A1">
      <pane xSplit="1" ySplit="4" topLeftCell="B5" activePane="bottomRight" state="frozen"/>
      <selection pane="bottomRight" activeCell="A1" sqref="A1"/>
    </sheetView>
  </sheetViews>
  <sheetFormatPr defaultColWidth="9.00390625" defaultRowHeight="14.25"/>
  <cols>
    <col min="1" max="1" width="53.625" style="0" customWidth="1"/>
    <col min="2" max="3" width="25.625" style="430" customWidth="1"/>
    <col min="4" max="4" width="25.625" style="288" customWidth="1"/>
    <col min="5" max="5" width="21.50390625" style="0" hidden="1" customWidth="1"/>
    <col min="6" max="6" width="23.875" style="0" hidden="1" customWidth="1"/>
    <col min="7" max="7" width="10.75390625" style="0" hidden="1" customWidth="1"/>
    <col min="8" max="8" width="17.625" style="0" hidden="1" customWidth="1"/>
    <col min="9" max="9" width="9.00390625" style="0" hidden="1" customWidth="1"/>
  </cols>
  <sheetData>
    <row r="1" spans="1:4" ht="18.75" customHeight="1">
      <c r="A1" s="7" t="s">
        <v>90</v>
      </c>
      <c r="B1" s="431"/>
      <c r="C1" s="431"/>
      <c r="D1" s="432"/>
    </row>
    <row r="2" spans="1:4" ht="25.5">
      <c r="A2" s="433" t="s">
        <v>91</v>
      </c>
      <c r="B2" s="433"/>
      <c r="C2" s="433"/>
      <c r="D2" s="433"/>
    </row>
    <row r="3" spans="1:4" ht="20.25" customHeight="1">
      <c r="A3" s="434"/>
      <c r="B3" s="435"/>
      <c r="C3" s="435"/>
      <c r="D3" s="436" t="s">
        <v>6</v>
      </c>
    </row>
    <row r="4" spans="1:8" s="428" customFormat="1" ht="27.75" customHeight="1">
      <c r="A4" s="285" t="s">
        <v>92</v>
      </c>
      <c r="B4" s="377" t="s">
        <v>93</v>
      </c>
      <c r="C4" s="377" t="s">
        <v>8</v>
      </c>
      <c r="D4" s="377" t="s">
        <v>94</v>
      </c>
      <c r="E4" s="290" t="s">
        <v>95</v>
      </c>
      <c r="F4" s="290" t="s">
        <v>96</v>
      </c>
      <c r="H4" s="437">
        <v>1622200</v>
      </c>
    </row>
    <row r="5" spans="1:9" s="429" customFormat="1" ht="22.5" customHeight="1">
      <c r="A5" s="183" t="s">
        <v>12</v>
      </c>
      <c r="B5" s="438">
        <v>1205000</v>
      </c>
      <c r="C5" s="389">
        <v>1216610</v>
      </c>
      <c r="D5" s="439">
        <f>B5/F5*100-100</f>
        <v>5.327895791639236</v>
      </c>
      <c r="E5" s="189">
        <v>1216610</v>
      </c>
      <c r="F5" s="189">
        <f>SUM(F6:F17)</f>
        <v>1144046.4</v>
      </c>
      <c r="G5" s="440">
        <f>F5/1504342.4</f>
        <v>0.7604960147370705</v>
      </c>
      <c r="H5" s="441">
        <f>G5*1622200</f>
        <v>1233676.6351064758</v>
      </c>
      <c r="I5" s="429">
        <f aca="true" t="shared" si="0" ref="I5:I24">H5/F5*100-100</f>
        <v>7.83449299840251</v>
      </c>
    </row>
    <row r="6" spans="1:9" s="429" customFormat="1" ht="22.5" customHeight="1">
      <c r="A6" s="442" t="s">
        <v>97</v>
      </c>
      <c r="B6" s="438">
        <f>F6*(1+D6%)-33</f>
        <v>533700.408</v>
      </c>
      <c r="C6" s="389">
        <f>252339+344156</f>
        <v>596495</v>
      </c>
      <c r="D6" s="439">
        <v>2.6</v>
      </c>
      <c r="E6" s="189">
        <f>252339+344156</f>
        <v>596495</v>
      </c>
      <c r="F6" s="189">
        <v>520208</v>
      </c>
      <c r="G6" s="440">
        <f>F6/1504342.4</f>
        <v>0.3458042530743001</v>
      </c>
      <c r="H6" s="441">
        <f aca="true" t="shared" si="1" ref="H6:H24">G6*1622200</f>
        <v>560963.6593371297</v>
      </c>
      <c r="I6" s="429">
        <f t="shared" si="0"/>
        <v>7.83449299840251</v>
      </c>
    </row>
    <row r="7" spans="1:9" s="429" customFormat="1" ht="22.5" customHeight="1">
      <c r="A7" s="442" t="s">
        <v>98</v>
      </c>
      <c r="B7" s="438">
        <f>F7*(1+D7%)+14</f>
        <v>168600.08000000002</v>
      </c>
      <c r="C7" s="389">
        <v>142684</v>
      </c>
      <c r="D7" s="439">
        <v>4</v>
      </c>
      <c r="E7" s="189">
        <v>142684</v>
      </c>
      <c r="F7" s="189">
        <v>162102</v>
      </c>
      <c r="G7" s="440">
        <f aca="true" t="shared" si="2" ref="G7:G24">F7/1504342.4</f>
        <v>0.10775605340911751</v>
      </c>
      <c r="H7" s="441">
        <f t="shared" si="1"/>
        <v>174801.86984027043</v>
      </c>
      <c r="I7" s="429">
        <f t="shared" si="0"/>
        <v>7.83449299840251</v>
      </c>
    </row>
    <row r="8" spans="1:9" s="429" customFormat="1" ht="22.5" customHeight="1">
      <c r="A8" s="442" t="s">
        <v>99</v>
      </c>
      <c r="B8" s="438">
        <f>F8*(1+D8%)</f>
        <v>67172.888</v>
      </c>
      <c r="C8" s="389">
        <v>78473</v>
      </c>
      <c r="D8" s="439">
        <v>7</v>
      </c>
      <c r="E8" s="189">
        <v>78473</v>
      </c>
      <c r="F8" s="189">
        <v>62778.4</v>
      </c>
      <c r="G8" s="440">
        <f t="shared" si="2"/>
        <v>0.04173145688109303</v>
      </c>
      <c r="H8" s="441">
        <f t="shared" si="1"/>
        <v>67696.76935250912</v>
      </c>
      <c r="I8" s="429">
        <f t="shared" si="0"/>
        <v>7.83449299840251</v>
      </c>
    </row>
    <row r="9" spans="1:9" s="429" customFormat="1" ht="22.5" customHeight="1">
      <c r="A9" s="442" t="s">
        <v>100</v>
      </c>
      <c r="B9" s="438">
        <f>F9*(1+D9%)+54</f>
        <v>899.88</v>
      </c>
      <c r="C9" s="389">
        <v>798</v>
      </c>
      <c r="D9" s="439">
        <v>6</v>
      </c>
      <c r="E9" s="189">
        <v>798</v>
      </c>
      <c r="F9" s="189">
        <v>798</v>
      </c>
      <c r="G9" s="440">
        <f t="shared" si="2"/>
        <v>0.0005304643410968141</v>
      </c>
      <c r="H9" s="441">
        <f t="shared" si="1"/>
        <v>860.5192541272519</v>
      </c>
      <c r="I9" s="429">
        <f t="shared" si="0"/>
        <v>7.834492998402482</v>
      </c>
    </row>
    <row r="10" spans="1:9" s="429" customFormat="1" ht="22.5" customHeight="1">
      <c r="A10" s="442" t="s">
        <v>101</v>
      </c>
      <c r="B10" s="438">
        <f>F10*(1+D10%)+12</f>
        <v>97800.18000000001</v>
      </c>
      <c r="C10" s="389">
        <v>92253</v>
      </c>
      <c r="D10" s="439">
        <v>6</v>
      </c>
      <c r="E10" s="189">
        <v>92253</v>
      </c>
      <c r="F10" s="189">
        <v>92253</v>
      </c>
      <c r="G10" s="440">
        <f t="shared" si="2"/>
        <v>0.06132446974837644</v>
      </c>
      <c r="H10" s="441">
        <f t="shared" si="1"/>
        <v>99480.55482581626</v>
      </c>
      <c r="I10" s="429">
        <f t="shared" si="0"/>
        <v>7.83449299840251</v>
      </c>
    </row>
    <row r="11" spans="1:9" s="429" customFormat="1" ht="22.5" customHeight="1">
      <c r="A11" s="442" t="s">
        <v>102</v>
      </c>
      <c r="B11" s="438">
        <f>F11*(1+D11%)+26</f>
        <v>42197.8</v>
      </c>
      <c r="C11" s="389">
        <v>38338</v>
      </c>
      <c r="D11" s="439">
        <v>10</v>
      </c>
      <c r="E11" s="189">
        <v>38338</v>
      </c>
      <c r="F11" s="189">
        <v>38338</v>
      </c>
      <c r="G11" s="440">
        <f t="shared" si="2"/>
        <v>0.02548488961023767</v>
      </c>
      <c r="H11" s="441">
        <f t="shared" si="1"/>
        <v>41341.587925727545</v>
      </c>
      <c r="I11" s="429">
        <f t="shared" si="0"/>
        <v>7.834492998402482</v>
      </c>
    </row>
    <row r="12" spans="1:9" s="429" customFormat="1" ht="22.5" customHeight="1">
      <c r="A12" s="442" t="s">
        <v>103</v>
      </c>
      <c r="B12" s="438">
        <f>F12*(1+D12%)+62</f>
        <v>23399.709</v>
      </c>
      <c r="C12" s="389">
        <v>21589</v>
      </c>
      <c r="D12" s="439">
        <v>8.1</v>
      </c>
      <c r="E12" s="189">
        <v>21589</v>
      </c>
      <c r="F12" s="189">
        <v>21589</v>
      </c>
      <c r="G12" s="440">
        <f t="shared" si="2"/>
        <v>0.01435112112774326</v>
      </c>
      <c r="H12" s="441">
        <f t="shared" si="1"/>
        <v>23280.388693425117</v>
      </c>
      <c r="I12" s="429">
        <f t="shared" si="0"/>
        <v>7.83449299840251</v>
      </c>
    </row>
    <row r="13" spans="1:9" s="429" customFormat="1" ht="22.5" customHeight="1">
      <c r="A13" s="442" t="s">
        <v>104</v>
      </c>
      <c r="B13" s="438">
        <f>F13*(1+D13%)+24</f>
        <v>21900.480000000003</v>
      </c>
      <c r="C13" s="389">
        <v>20256</v>
      </c>
      <c r="D13" s="439">
        <v>8</v>
      </c>
      <c r="E13" s="189">
        <v>20256</v>
      </c>
      <c r="F13" s="189">
        <v>20256</v>
      </c>
      <c r="G13" s="440">
        <f t="shared" si="2"/>
        <v>0.013465019665735673</v>
      </c>
      <c r="H13" s="441">
        <f t="shared" si="1"/>
        <v>21842.95490175641</v>
      </c>
      <c r="I13" s="429">
        <f t="shared" si="0"/>
        <v>7.834492998402482</v>
      </c>
    </row>
    <row r="14" spans="1:9" s="429" customFormat="1" ht="22.5" customHeight="1">
      <c r="A14" s="442" t="s">
        <v>105</v>
      </c>
      <c r="B14" s="438">
        <f>F14*(1+D14%)-14</f>
        <v>125200.1</v>
      </c>
      <c r="C14" s="389">
        <v>113831</v>
      </c>
      <c r="D14" s="439">
        <v>10</v>
      </c>
      <c r="E14" s="189">
        <v>113831</v>
      </c>
      <c r="F14" s="189">
        <v>113831</v>
      </c>
      <c r="G14" s="440">
        <f t="shared" si="2"/>
        <v>0.07566827871101686</v>
      </c>
      <c r="H14" s="441">
        <f t="shared" si="1"/>
        <v>122749.08172501155</v>
      </c>
      <c r="I14" s="429">
        <f t="shared" si="0"/>
        <v>7.83449299840251</v>
      </c>
    </row>
    <row r="15" spans="1:9" s="429" customFormat="1" ht="22.5" customHeight="1">
      <c r="A15" s="183" t="s">
        <v>106</v>
      </c>
      <c r="B15" s="438">
        <f>F15*(1+D15%)</f>
        <v>0</v>
      </c>
      <c r="C15" s="389"/>
      <c r="D15" s="439"/>
      <c r="E15" s="189"/>
      <c r="F15" s="189"/>
      <c r="G15" s="440">
        <f t="shared" si="2"/>
        <v>0</v>
      </c>
      <c r="H15" s="441">
        <f t="shared" si="1"/>
        <v>0</v>
      </c>
      <c r="I15" s="429" t="e">
        <f t="shared" si="0"/>
        <v>#DIV/0!</v>
      </c>
    </row>
    <row r="16" spans="1:9" s="429" customFormat="1" ht="22.5" customHeight="1">
      <c r="A16" s="442" t="s">
        <v>107</v>
      </c>
      <c r="B16" s="438">
        <f>F16*(1+D16%)+47</f>
        <v>110899.50000000001</v>
      </c>
      <c r="C16" s="389">
        <v>100775</v>
      </c>
      <c r="D16" s="439">
        <v>10</v>
      </c>
      <c r="E16" s="189">
        <v>100775</v>
      </c>
      <c r="F16" s="189">
        <v>100775</v>
      </c>
      <c r="G16" s="440">
        <f t="shared" si="2"/>
        <v>0.06698940347622988</v>
      </c>
      <c r="H16" s="441">
        <f t="shared" si="1"/>
        <v>108670.21031914011</v>
      </c>
      <c r="I16" s="429">
        <f t="shared" si="0"/>
        <v>7.834492998402482</v>
      </c>
    </row>
    <row r="17" spans="1:9" s="429" customFormat="1" ht="22.5" customHeight="1">
      <c r="A17" s="442" t="s">
        <v>108</v>
      </c>
      <c r="B17" s="438">
        <f>F17*(1+D17%)-52+829</f>
        <v>13229.160000000002</v>
      </c>
      <c r="C17" s="438">
        <v>11118</v>
      </c>
      <c r="D17" s="439">
        <v>12</v>
      </c>
      <c r="E17" s="189">
        <f>E5-SUM(E6:E16)</f>
        <v>11118</v>
      </c>
      <c r="F17" s="189">
        <v>11118</v>
      </c>
      <c r="G17" s="440">
        <f t="shared" si="2"/>
        <v>0.0073906046921232834</v>
      </c>
      <c r="H17" s="441">
        <f t="shared" si="1"/>
        <v>11989.03893156239</v>
      </c>
      <c r="I17" s="429">
        <f t="shared" si="0"/>
        <v>7.83449299840251</v>
      </c>
    </row>
    <row r="18" spans="1:9" s="428" customFormat="1" ht="22.5" customHeight="1">
      <c r="A18" s="203" t="s">
        <v>42</v>
      </c>
      <c r="B18" s="389">
        <v>417200</v>
      </c>
      <c r="C18" s="389">
        <v>360296</v>
      </c>
      <c r="D18" s="439">
        <v>15.8</v>
      </c>
      <c r="E18" s="290">
        <v>360296</v>
      </c>
      <c r="F18" s="290">
        <v>360296</v>
      </c>
      <c r="G18" s="440">
        <f t="shared" si="2"/>
        <v>0.23950398526292951</v>
      </c>
      <c r="H18" s="441">
        <f t="shared" si="1"/>
        <v>388523.36489352427</v>
      </c>
      <c r="I18" s="429">
        <f t="shared" si="0"/>
        <v>7.83449299840251</v>
      </c>
    </row>
    <row r="19" spans="1:9" s="428" customFormat="1" ht="22.5" customHeight="1">
      <c r="A19" s="443" t="s">
        <v>109</v>
      </c>
      <c r="B19" s="438">
        <f>F19*(1+D19%)-12</f>
        <v>131799.96</v>
      </c>
      <c r="C19" s="389">
        <v>113631</v>
      </c>
      <c r="D19" s="439">
        <v>16</v>
      </c>
      <c r="E19" s="290">
        <v>113631</v>
      </c>
      <c r="F19" s="290">
        <v>113631</v>
      </c>
      <c r="G19" s="440">
        <f t="shared" si="2"/>
        <v>0.07553533025460162</v>
      </c>
      <c r="H19" s="441">
        <f t="shared" si="1"/>
        <v>122533.41273901473</v>
      </c>
      <c r="I19" s="429">
        <f t="shared" si="0"/>
        <v>7.834492998402482</v>
      </c>
    </row>
    <row r="20" spans="1:9" s="428" customFormat="1" ht="22.5" customHeight="1">
      <c r="A20" s="443" t="s">
        <v>110</v>
      </c>
      <c r="B20" s="438">
        <f>F20*(1+D20%)+1</f>
        <v>177499.56</v>
      </c>
      <c r="C20" s="389">
        <v>153016</v>
      </c>
      <c r="D20" s="439">
        <v>16</v>
      </c>
      <c r="E20" s="290">
        <v>153016</v>
      </c>
      <c r="F20" s="290">
        <v>153016</v>
      </c>
      <c r="G20" s="440">
        <f t="shared" si="2"/>
        <v>0.10171620503417307</v>
      </c>
      <c r="H20" s="441">
        <f t="shared" si="1"/>
        <v>165004.02780643557</v>
      </c>
      <c r="I20" s="429">
        <f t="shared" si="0"/>
        <v>7.834492998402482</v>
      </c>
    </row>
    <row r="21" spans="1:9" s="428" customFormat="1" ht="22.5" customHeight="1">
      <c r="A21" s="443" t="s">
        <v>111</v>
      </c>
      <c r="B21" s="438">
        <f>F21*(1+D21%)-37</f>
        <v>34999.82</v>
      </c>
      <c r="C21" s="389">
        <v>29946</v>
      </c>
      <c r="D21" s="439">
        <v>17</v>
      </c>
      <c r="E21" s="290">
        <v>29946</v>
      </c>
      <c r="F21" s="290">
        <v>29946</v>
      </c>
      <c r="G21" s="440">
        <f t="shared" si="2"/>
        <v>0.01990637237905413</v>
      </c>
      <c r="H21" s="441">
        <f t="shared" si="1"/>
        <v>32292.11727330161</v>
      </c>
      <c r="I21" s="429">
        <f t="shared" si="0"/>
        <v>7.834492998402482</v>
      </c>
    </row>
    <row r="22" spans="1:9" s="428" customFormat="1" ht="22.5" customHeight="1">
      <c r="A22" s="443" t="s">
        <v>112</v>
      </c>
      <c r="B22" s="438">
        <f>F22*(1+D22%)-22</f>
        <v>66299.835</v>
      </c>
      <c r="C22" s="389">
        <v>57923</v>
      </c>
      <c r="D22" s="439">
        <v>14.5</v>
      </c>
      <c r="E22" s="290">
        <v>57923</v>
      </c>
      <c r="F22" s="290">
        <v>57923</v>
      </c>
      <c r="G22" s="440">
        <f t="shared" si="2"/>
        <v>0.03850386720470021</v>
      </c>
      <c r="H22" s="441">
        <f t="shared" si="1"/>
        <v>62460.97337946468</v>
      </c>
      <c r="I22" s="429">
        <f t="shared" si="0"/>
        <v>7.83449299840251</v>
      </c>
    </row>
    <row r="23" spans="1:9" s="428" customFormat="1" ht="22.5" customHeight="1">
      <c r="A23" s="443" t="s">
        <v>113</v>
      </c>
      <c r="B23" s="438">
        <f>F23*(1+D23%)+11</f>
        <v>6600.200000000001</v>
      </c>
      <c r="C23" s="389">
        <v>5780</v>
      </c>
      <c r="D23" s="439">
        <v>14</v>
      </c>
      <c r="E23" s="290">
        <f>E18-SUM(E19:E22)</f>
        <v>5780</v>
      </c>
      <c r="F23" s="290">
        <v>5780</v>
      </c>
      <c r="G23" s="440">
        <f t="shared" si="2"/>
        <v>0.0038422103904004836</v>
      </c>
      <c r="H23" s="441">
        <f t="shared" si="1"/>
        <v>6232.833695307664</v>
      </c>
      <c r="I23" s="429">
        <f t="shared" si="0"/>
        <v>7.834492998402482</v>
      </c>
    </row>
    <row r="24" spans="1:9" s="428" customFormat="1" ht="22.5" customHeight="1">
      <c r="A24" s="444" t="s">
        <v>56</v>
      </c>
      <c r="B24" s="389">
        <v>1622200</v>
      </c>
      <c r="C24" s="389">
        <v>1576906</v>
      </c>
      <c r="D24" s="439">
        <v>7.5</v>
      </c>
      <c r="E24" s="290">
        <f>E5+E18</f>
        <v>1576906</v>
      </c>
      <c r="F24" s="290">
        <f>F5+F18</f>
        <v>1504342.4</v>
      </c>
      <c r="G24" s="440">
        <f t="shared" si="2"/>
        <v>1</v>
      </c>
      <c r="H24" s="441">
        <f t="shared" si="1"/>
        <v>1622200</v>
      </c>
      <c r="I24" s="429">
        <f t="shared" si="0"/>
        <v>7.834492998402482</v>
      </c>
    </row>
    <row r="25" spans="1:5" s="260" customFormat="1" ht="24.75" customHeight="1" hidden="1">
      <c r="A25" s="445"/>
      <c r="B25" s="446">
        <f>B5-SUM(B6:B17)</f>
        <v>-0.18500000028871</v>
      </c>
      <c r="C25" s="446">
        <f>C5-SUM(C6:C17)</f>
        <v>0</v>
      </c>
      <c r="D25" s="445"/>
      <c r="E25" s="446">
        <f>E5-SUM(E6:E17)</f>
        <v>0</v>
      </c>
    </row>
    <row r="26" spans="2:5" ht="14.25" hidden="1">
      <c r="B26" s="430">
        <f>B18-SUM(B19:B23)</f>
        <v>0.6249999999417923</v>
      </c>
      <c r="C26" s="430">
        <f>C18-SUM(C19:C23)</f>
        <v>0</v>
      </c>
      <c r="E26" s="430">
        <f>E18-SUM(E19:E23)</f>
        <v>0</v>
      </c>
    </row>
    <row r="27" spans="2:5" ht="14.25" hidden="1">
      <c r="B27" s="430">
        <f>B24-B18-B5</f>
        <v>0</v>
      </c>
      <c r="C27" s="430">
        <f>C24-C18-C5</f>
        <v>0</v>
      </c>
      <c r="E27" s="430">
        <f>E24-E18-E5</f>
        <v>0</v>
      </c>
    </row>
    <row r="28" ht="14.25" hidden="1"/>
    <row r="29" spans="2:3" ht="14.25" hidden="1">
      <c r="B29" s="430">
        <f>B5-SUM(B6:B17)</f>
        <v>-0.18500000028871</v>
      </c>
      <c r="C29" s="430">
        <f>C5-SUM(C6:C17)</f>
        <v>0</v>
      </c>
    </row>
    <row r="30" spans="2:3" ht="14.25" hidden="1">
      <c r="B30" s="430">
        <f>B18-SUM(B19:B23)</f>
        <v>0.6249999999417923</v>
      </c>
      <c r="C30" s="430">
        <f>C18-SUM(C19:C23)</f>
        <v>0</v>
      </c>
    </row>
    <row r="32" ht="14.25">
      <c r="B32" s="430">
        <f>B24-B18-B5</f>
        <v>0</v>
      </c>
    </row>
  </sheetData>
  <sheetProtection/>
  <mergeCells count="1">
    <mergeCell ref="A2:D2"/>
  </mergeCells>
  <printOptions horizontalCentered="1" verticalCentered="1"/>
  <pageMargins left="0.69" right="0.75" top="0.47" bottom="0.47" header="0.31" footer="0.31"/>
  <pageSetup horizontalDpi="600" verticalDpi="600" orientation="landscape" paperSize="9" scale="90"/>
  <headerFooter scaleWithDoc="0" alignWithMargins="0">
    <oddFooter>&amp;C—&amp;P+6—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I529"/>
  <sheetViews>
    <sheetView showZeros="0" workbookViewId="0" topLeftCell="A1">
      <pane xSplit="2" ySplit="6" topLeftCell="C7" activePane="bottomRight" state="frozen"/>
      <selection pane="bottomRight" activeCell="B4" sqref="B4"/>
    </sheetView>
  </sheetViews>
  <sheetFormatPr defaultColWidth="9.00390625" defaultRowHeight="14.25"/>
  <cols>
    <col min="1" max="1" width="7.875" style="393" hidden="1" customWidth="1"/>
    <col min="2" max="2" width="45.75390625" style="393" customWidth="1"/>
    <col min="3" max="3" width="24.375" style="393" customWidth="1"/>
    <col min="4" max="4" width="25.625" style="393" customWidth="1"/>
    <col min="5" max="5" width="25.625" style="394" hidden="1" customWidth="1"/>
    <col min="6" max="6" width="25.625" style="394" customWidth="1"/>
    <col min="7" max="7" width="25.625" style="394" hidden="1" customWidth="1"/>
    <col min="8" max="16384" width="7.00390625" style="394" customWidth="1"/>
  </cols>
  <sheetData>
    <row r="1" spans="1:2" ht="12.75">
      <c r="A1" s="395"/>
      <c r="B1" s="395" t="s">
        <v>114</v>
      </c>
    </row>
    <row r="2" spans="1:7" ht="25.5">
      <c r="A2" s="396" t="s">
        <v>115</v>
      </c>
      <c r="B2" s="396"/>
      <c r="C2" s="396"/>
      <c r="D2" s="396"/>
      <c r="E2" s="396"/>
      <c r="F2" s="396"/>
      <c r="G2" s="396"/>
    </row>
    <row r="3" spans="6:7" ht="12.75">
      <c r="F3" s="397" t="s">
        <v>6</v>
      </c>
      <c r="G3" s="397" t="s">
        <v>6</v>
      </c>
    </row>
    <row r="4" spans="1:7" ht="27.75" customHeight="1">
      <c r="A4" s="398" t="s">
        <v>116</v>
      </c>
      <c r="B4" s="399" t="s">
        <v>117</v>
      </c>
      <c r="C4" s="329" t="s">
        <v>93</v>
      </c>
      <c r="D4" s="329" t="s">
        <v>118</v>
      </c>
      <c r="E4" s="398" t="s">
        <v>119</v>
      </c>
      <c r="F4" s="330" t="s">
        <v>120</v>
      </c>
      <c r="G4" s="398" t="s">
        <v>121</v>
      </c>
    </row>
    <row r="5" spans="1:7" s="390" customFormat="1" ht="17.25" customHeight="1">
      <c r="A5" s="400"/>
      <c r="B5" s="401" t="s">
        <v>122</v>
      </c>
      <c r="C5" s="402">
        <f>'[36]分类汇总表'!BJ2872/10</f>
        <v>1807000</v>
      </c>
      <c r="D5" s="402">
        <v>1717000</v>
      </c>
      <c r="E5" s="403">
        <f aca="true" t="shared" si="0" ref="E5:E68">C5-D5</f>
        <v>90000</v>
      </c>
      <c r="F5" s="403">
        <f aca="true" t="shared" si="1" ref="F5:F36">C5/D5*100-100</f>
        <v>5.241700640652297</v>
      </c>
      <c r="G5" s="404"/>
    </row>
    <row r="6" spans="1:7" s="391" customFormat="1" ht="17.25" customHeight="1">
      <c r="A6" s="405">
        <v>201</v>
      </c>
      <c r="B6" s="405" t="s">
        <v>123</v>
      </c>
      <c r="C6" s="406">
        <f>SUM('[36]分类汇总表'!BJ299)/10</f>
        <v>70928.22</v>
      </c>
      <c r="D6" s="406">
        <v>66709.9</v>
      </c>
      <c r="E6" s="407">
        <f t="shared" si="0"/>
        <v>4218.320000000007</v>
      </c>
      <c r="F6" s="407">
        <f t="shared" si="1"/>
        <v>6.323379288531399</v>
      </c>
      <c r="G6" s="408"/>
    </row>
    <row r="7" spans="1:7" s="391" customFormat="1" ht="17.25" customHeight="1">
      <c r="A7" s="409">
        <v>20101</v>
      </c>
      <c r="B7" s="410" t="s">
        <v>124</v>
      </c>
      <c r="C7" s="411">
        <f>'[36]分类汇总表'!BJ15/10</f>
        <v>1670.86</v>
      </c>
      <c r="D7" s="411">
        <v>1629.6</v>
      </c>
      <c r="E7" s="412">
        <f t="shared" si="0"/>
        <v>41.25999999999999</v>
      </c>
      <c r="F7" s="412">
        <f t="shared" si="1"/>
        <v>2.531909671084918</v>
      </c>
      <c r="G7" s="404"/>
    </row>
    <row r="8" spans="1:7" s="391" customFormat="1" ht="17.25" customHeight="1">
      <c r="A8" s="413" t="s">
        <v>125</v>
      </c>
      <c r="B8" s="414" t="s">
        <v>126</v>
      </c>
      <c r="C8" s="415">
        <f>'[36]分类汇总表'!BJ9/10</f>
        <v>806.27</v>
      </c>
      <c r="D8" s="415">
        <v>891.1</v>
      </c>
      <c r="E8" s="416">
        <f t="shared" si="0"/>
        <v>-84.83000000000004</v>
      </c>
      <c r="F8" s="416">
        <f t="shared" si="1"/>
        <v>-9.519694759286281</v>
      </c>
      <c r="G8" s="404"/>
    </row>
    <row r="9" spans="1:7" s="391" customFormat="1" ht="17.25" customHeight="1">
      <c r="A9" s="413" t="s">
        <v>127</v>
      </c>
      <c r="B9" s="414" t="s">
        <v>128</v>
      </c>
      <c r="C9" s="415">
        <f>('[36]分类汇总表'!BJ10+'[36]分类汇总表'!BJ11)/10</f>
        <v>622.4</v>
      </c>
      <c r="D9" s="415">
        <v>543.4</v>
      </c>
      <c r="E9" s="416">
        <f t="shared" si="0"/>
        <v>79</v>
      </c>
      <c r="F9" s="416">
        <f t="shared" si="1"/>
        <v>14.538093485461914</v>
      </c>
      <c r="G9" s="404"/>
    </row>
    <row r="10" spans="1:7" s="391" customFormat="1" ht="17.25" customHeight="1">
      <c r="A10" s="413" t="s">
        <v>129</v>
      </c>
      <c r="B10" s="414" t="s">
        <v>130</v>
      </c>
      <c r="C10" s="415">
        <f>'[36]分类汇总表'!BJ12/10</f>
        <v>41.39</v>
      </c>
      <c r="D10" s="415">
        <v>47.2</v>
      </c>
      <c r="E10" s="416">
        <f t="shared" si="0"/>
        <v>-5.810000000000002</v>
      </c>
      <c r="F10" s="416">
        <f t="shared" si="1"/>
        <v>-12.309322033898312</v>
      </c>
      <c r="G10" s="404"/>
    </row>
    <row r="11" spans="1:7" s="391" customFormat="1" ht="17.25" customHeight="1">
      <c r="A11" s="413" t="s">
        <v>131</v>
      </c>
      <c r="B11" s="414" t="s">
        <v>132</v>
      </c>
      <c r="C11" s="415">
        <f>'[36]分类汇总表'!BJ13/10</f>
        <v>50</v>
      </c>
      <c r="D11" s="415">
        <v>50</v>
      </c>
      <c r="E11" s="416">
        <f t="shared" si="0"/>
        <v>0</v>
      </c>
      <c r="F11" s="416">
        <f t="shared" si="1"/>
        <v>0</v>
      </c>
      <c r="G11" s="404"/>
    </row>
    <row r="12" spans="1:7" s="391" customFormat="1" ht="17.25" customHeight="1">
      <c r="A12" s="413" t="s">
        <v>133</v>
      </c>
      <c r="B12" s="414" t="s">
        <v>134</v>
      </c>
      <c r="C12" s="415">
        <f>'[36]分类汇总表'!BJ14/10</f>
        <v>150.8</v>
      </c>
      <c r="D12" s="415">
        <v>98</v>
      </c>
      <c r="E12" s="416">
        <f t="shared" si="0"/>
        <v>52.80000000000001</v>
      </c>
      <c r="F12" s="416">
        <f t="shared" si="1"/>
        <v>53.87755102040816</v>
      </c>
      <c r="G12" s="404"/>
    </row>
    <row r="13" spans="1:7" s="391" customFormat="1" ht="17.25" customHeight="1">
      <c r="A13" s="409">
        <v>20102</v>
      </c>
      <c r="B13" s="410" t="s">
        <v>135</v>
      </c>
      <c r="C13" s="411">
        <f>'[36]分类汇总表'!BJ20/10</f>
        <v>1235.16</v>
      </c>
      <c r="D13" s="411">
        <v>1268.9</v>
      </c>
      <c r="E13" s="412">
        <f t="shared" si="0"/>
        <v>-33.74000000000001</v>
      </c>
      <c r="F13" s="412">
        <f t="shared" si="1"/>
        <v>-2.6589959807707544</v>
      </c>
      <c r="G13" s="404"/>
    </row>
    <row r="14" spans="1:9" s="391" customFormat="1" ht="17.25" customHeight="1">
      <c r="A14" s="413" t="s">
        <v>136</v>
      </c>
      <c r="B14" s="414" t="s">
        <v>137</v>
      </c>
      <c r="C14" s="415">
        <f>'[36]分类汇总表'!BJ17/10</f>
        <v>433.2</v>
      </c>
      <c r="D14" s="415">
        <v>684.1</v>
      </c>
      <c r="E14" s="416">
        <f t="shared" si="0"/>
        <v>-250.90000000000003</v>
      </c>
      <c r="F14" s="416">
        <f t="shared" si="1"/>
        <v>-36.675924572430944</v>
      </c>
      <c r="G14" s="404"/>
      <c r="I14" s="391">
        <f>SUM(I10:I13)</f>
        <v>0</v>
      </c>
    </row>
    <row r="15" spans="1:7" s="391" customFormat="1" ht="17.25" customHeight="1">
      <c r="A15" s="413" t="s">
        <v>138</v>
      </c>
      <c r="B15" s="414" t="s">
        <v>139</v>
      </c>
      <c r="C15" s="415">
        <f>'[36]分类汇总表'!BJ17/10</f>
        <v>433.2</v>
      </c>
      <c r="D15" s="417">
        <v>417.2</v>
      </c>
      <c r="E15" s="416">
        <f t="shared" si="0"/>
        <v>16</v>
      </c>
      <c r="F15" s="416">
        <f t="shared" si="1"/>
        <v>3.835091083413218</v>
      </c>
      <c r="G15" s="404"/>
    </row>
    <row r="16" spans="1:7" s="391" customFormat="1" ht="17.25" customHeight="1">
      <c r="A16" s="413" t="s">
        <v>140</v>
      </c>
      <c r="B16" s="414" t="s">
        <v>141</v>
      </c>
      <c r="C16" s="415">
        <f>'[36]分类汇总表'!BJ18/10</f>
        <v>48.87</v>
      </c>
      <c r="D16" s="417">
        <v>52.4</v>
      </c>
      <c r="E16" s="416">
        <f t="shared" si="0"/>
        <v>-3.530000000000001</v>
      </c>
      <c r="F16" s="416">
        <f t="shared" si="1"/>
        <v>-6.736641221374057</v>
      </c>
      <c r="G16" s="404"/>
    </row>
    <row r="17" spans="1:7" s="391" customFormat="1" ht="17.25" customHeight="1">
      <c r="A17" s="413" t="s">
        <v>142</v>
      </c>
      <c r="B17" s="414" t="s">
        <v>143</v>
      </c>
      <c r="C17" s="415">
        <f>'[36]分类汇总表'!BJ19/10</f>
        <v>99.2</v>
      </c>
      <c r="D17" s="417">
        <v>115.2</v>
      </c>
      <c r="E17" s="416">
        <f t="shared" si="0"/>
        <v>-16</v>
      </c>
      <c r="F17" s="416">
        <f t="shared" si="1"/>
        <v>-13.888888888888886</v>
      </c>
      <c r="G17" s="404"/>
    </row>
    <row r="18" spans="1:7" s="391" customFormat="1" ht="17.25" customHeight="1">
      <c r="A18" s="409">
        <v>20103</v>
      </c>
      <c r="B18" s="410" t="s">
        <v>144</v>
      </c>
      <c r="C18" s="411">
        <f>'[36]分类汇总表'!BJ73/10</f>
        <v>18803.1</v>
      </c>
      <c r="D18" s="411">
        <v>19504</v>
      </c>
      <c r="E18" s="412">
        <f t="shared" si="0"/>
        <v>-700.9000000000015</v>
      </c>
      <c r="F18" s="412">
        <f t="shared" si="1"/>
        <v>-3.593621821164888</v>
      </c>
      <c r="G18" s="404"/>
    </row>
    <row r="19" spans="1:7" s="391" customFormat="1" ht="17.25" customHeight="1">
      <c r="A19" s="413">
        <v>2010301</v>
      </c>
      <c r="B19" s="414" t="s">
        <v>145</v>
      </c>
      <c r="C19" s="415">
        <f>SUM('[36]分类汇总表'!BJ21:BJ34)/10</f>
        <v>4534.11</v>
      </c>
      <c r="D19" s="415">
        <v>4972.9</v>
      </c>
      <c r="E19" s="416">
        <f t="shared" si="0"/>
        <v>-438.78999999999996</v>
      </c>
      <c r="F19" s="416">
        <f t="shared" si="1"/>
        <v>-8.82362404230932</v>
      </c>
      <c r="G19" s="404"/>
    </row>
    <row r="20" spans="1:7" s="391" customFormat="1" ht="17.25" customHeight="1">
      <c r="A20" s="413">
        <v>2010302</v>
      </c>
      <c r="B20" s="414" t="s">
        <v>146</v>
      </c>
      <c r="C20" s="415">
        <f>SUM('[36]分类汇总表'!BJ35:BJ51)/10</f>
        <v>7826.01</v>
      </c>
      <c r="D20" s="415">
        <v>7902.2</v>
      </c>
      <c r="E20" s="416">
        <f t="shared" si="0"/>
        <v>-76.1899999999996</v>
      </c>
      <c r="F20" s="416">
        <f t="shared" si="1"/>
        <v>-0.9641618789704012</v>
      </c>
      <c r="G20" s="404"/>
    </row>
    <row r="21" spans="1:7" s="391" customFormat="1" ht="17.25" customHeight="1">
      <c r="A21" s="413" t="s">
        <v>147</v>
      </c>
      <c r="B21" s="414" t="s">
        <v>148</v>
      </c>
      <c r="C21" s="415">
        <f>SUM('[36]分类汇总表'!BJ52)/10</f>
        <v>84.26</v>
      </c>
      <c r="D21" s="415">
        <v>99</v>
      </c>
      <c r="E21" s="416">
        <f t="shared" si="0"/>
        <v>-14.739999999999995</v>
      </c>
      <c r="F21" s="416">
        <f t="shared" si="1"/>
        <v>-14.888888888888886</v>
      </c>
      <c r="G21" s="404"/>
    </row>
    <row r="22" spans="1:7" s="391" customFormat="1" ht="17.25" customHeight="1">
      <c r="A22" s="413" t="s">
        <v>149</v>
      </c>
      <c r="B22" s="414" t="s">
        <v>150</v>
      </c>
      <c r="C22" s="415">
        <f>SUM('[36]分类汇总表'!BJ53)/10</f>
        <v>310</v>
      </c>
      <c r="D22" s="415">
        <v>310</v>
      </c>
      <c r="E22" s="416">
        <f t="shared" si="0"/>
        <v>0</v>
      </c>
      <c r="F22" s="416">
        <f t="shared" si="1"/>
        <v>0</v>
      </c>
      <c r="G22" s="404"/>
    </row>
    <row r="23" spans="1:7" s="391" customFormat="1" ht="17.25" customHeight="1">
      <c r="A23" s="413" t="s">
        <v>151</v>
      </c>
      <c r="B23" s="414" t="s">
        <v>152</v>
      </c>
      <c r="C23" s="415">
        <f>SUM('[36]分类汇总表'!BJ54:BJ62)/10</f>
        <v>1861.0800000000004</v>
      </c>
      <c r="D23" s="415">
        <v>1959.6</v>
      </c>
      <c r="E23" s="416">
        <f t="shared" si="0"/>
        <v>-98.51999999999953</v>
      </c>
      <c r="F23" s="416">
        <f t="shared" si="1"/>
        <v>-5.027556644213078</v>
      </c>
      <c r="G23" s="404"/>
    </row>
    <row r="24" spans="1:7" s="391" customFormat="1" ht="17.25" customHeight="1">
      <c r="A24" s="413">
        <v>2010399</v>
      </c>
      <c r="B24" s="414" t="s">
        <v>153</v>
      </c>
      <c r="C24" s="415">
        <f>SUM('[36]分类汇总表'!BJ63:BJ72)/10</f>
        <v>4187.64</v>
      </c>
      <c r="D24" s="415">
        <v>4260.3</v>
      </c>
      <c r="E24" s="416">
        <f t="shared" si="0"/>
        <v>-72.65999999999985</v>
      </c>
      <c r="F24" s="416">
        <f t="shared" si="1"/>
        <v>-1.7055136962185742</v>
      </c>
      <c r="G24" s="404"/>
    </row>
    <row r="25" spans="1:7" s="391" customFormat="1" ht="17.25" customHeight="1">
      <c r="A25" s="409">
        <v>20104</v>
      </c>
      <c r="B25" s="410" t="s">
        <v>154</v>
      </c>
      <c r="C25" s="411">
        <f>'[36]分类汇总表'!BJ90/10</f>
        <v>2368.88</v>
      </c>
      <c r="D25" s="411">
        <v>2401.4</v>
      </c>
      <c r="E25" s="412">
        <f t="shared" si="0"/>
        <v>-32.51999999999998</v>
      </c>
      <c r="F25" s="412">
        <f t="shared" si="1"/>
        <v>-1.3542100441409133</v>
      </c>
      <c r="G25" s="404"/>
    </row>
    <row r="26" spans="1:7" s="391" customFormat="1" ht="17.25" customHeight="1">
      <c r="A26" s="413" t="s">
        <v>155</v>
      </c>
      <c r="B26" s="414" t="s">
        <v>156</v>
      </c>
      <c r="C26" s="415">
        <f>SUM('[36]分类汇总表'!BJ74:BJ77)/10</f>
        <v>1253.4299999999998</v>
      </c>
      <c r="D26" s="415">
        <v>1342</v>
      </c>
      <c r="E26" s="416">
        <f t="shared" si="0"/>
        <v>-88.57000000000016</v>
      </c>
      <c r="F26" s="416">
        <f t="shared" si="1"/>
        <v>-6.599850968703436</v>
      </c>
      <c r="G26" s="404"/>
    </row>
    <row r="27" spans="1:7" s="391" customFormat="1" ht="17.25" customHeight="1">
      <c r="A27" s="413" t="s">
        <v>157</v>
      </c>
      <c r="B27" s="414" t="s">
        <v>158</v>
      </c>
      <c r="C27" s="415">
        <f>SUM('[36]分类汇总表'!BJ78:BJ80)/10</f>
        <v>343.6</v>
      </c>
      <c r="D27" s="415">
        <v>263.6</v>
      </c>
      <c r="E27" s="416">
        <f t="shared" si="0"/>
        <v>80</v>
      </c>
      <c r="F27" s="416">
        <f t="shared" si="1"/>
        <v>30.349013657056133</v>
      </c>
      <c r="G27" s="404"/>
    </row>
    <row r="28" spans="1:7" s="391" customFormat="1" ht="17.25" customHeight="1">
      <c r="A28" s="413" t="s">
        <v>159</v>
      </c>
      <c r="B28" s="414" t="s">
        <v>160</v>
      </c>
      <c r="C28" s="415">
        <f>'[36]分类汇总表'!BJ81/10</f>
        <v>98.5</v>
      </c>
      <c r="D28" s="415">
        <v>98.5</v>
      </c>
      <c r="E28" s="416">
        <f t="shared" si="0"/>
        <v>0</v>
      </c>
      <c r="F28" s="416">
        <f t="shared" si="1"/>
        <v>0</v>
      </c>
      <c r="G28" s="404"/>
    </row>
    <row r="29" spans="1:7" s="391" customFormat="1" ht="17.25" customHeight="1">
      <c r="A29" s="413" t="s">
        <v>161</v>
      </c>
      <c r="B29" s="414" t="s">
        <v>162</v>
      </c>
      <c r="C29" s="415">
        <f>SUM('[36]分类汇总表'!BJ82:BJ86)/10</f>
        <v>396.23</v>
      </c>
      <c r="D29" s="415">
        <v>444.6</v>
      </c>
      <c r="E29" s="416">
        <f t="shared" si="0"/>
        <v>-48.370000000000005</v>
      </c>
      <c r="F29" s="416">
        <f t="shared" si="1"/>
        <v>-10.879442195231675</v>
      </c>
      <c r="G29" s="404"/>
    </row>
    <row r="30" spans="1:7" s="391" customFormat="1" ht="17.25" customHeight="1">
      <c r="A30" s="413" t="s">
        <v>163</v>
      </c>
      <c r="B30" s="414" t="s">
        <v>164</v>
      </c>
      <c r="C30" s="415">
        <f>SUM('[36]分类汇总表'!BJ87:BJ89)/10</f>
        <v>277.12</v>
      </c>
      <c r="D30" s="415">
        <v>252.6</v>
      </c>
      <c r="E30" s="416">
        <f t="shared" si="0"/>
        <v>24.52000000000001</v>
      </c>
      <c r="F30" s="416">
        <f t="shared" si="1"/>
        <v>9.70704671417262</v>
      </c>
      <c r="G30" s="404"/>
    </row>
    <row r="31" spans="1:7" s="391" customFormat="1" ht="17.25" customHeight="1">
      <c r="A31" s="409">
        <v>20105</v>
      </c>
      <c r="B31" s="410" t="s">
        <v>165</v>
      </c>
      <c r="C31" s="411">
        <f>SUM('[36]分类汇总表'!BJ100)/10</f>
        <v>903.95</v>
      </c>
      <c r="D31" s="411">
        <v>922.2</v>
      </c>
      <c r="E31" s="412">
        <f t="shared" si="0"/>
        <v>-18.25</v>
      </c>
      <c r="F31" s="412">
        <f t="shared" si="1"/>
        <v>-1.9789633485144122</v>
      </c>
      <c r="G31" s="404"/>
    </row>
    <row r="32" spans="1:7" s="391" customFormat="1" ht="17.25" customHeight="1">
      <c r="A32" s="413" t="s">
        <v>166</v>
      </c>
      <c r="B32" s="414" t="s">
        <v>167</v>
      </c>
      <c r="C32" s="415">
        <f>SUM('[36]分类汇总表'!BJ91:BJ92)/10</f>
        <v>431.14</v>
      </c>
      <c r="D32" s="415">
        <v>469.6</v>
      </c>
      <c r="E32" s="416">
        <f t="shared" si="0"/>
        <v>-38.460000000000036</v>
      </c>
      <c r="F32" s="416">
        <f t="shared" si="1"/>
        <v>-8.189948892674622</v>
      </c>
      <c r="G32" s="404"/>
    </row>
    <row r="33" spans="1:7" s="391" customFormat="1" ht="17.25" customHeight="1">
      <c r="A33" s="413" t="s">
        <v>168</v>
      </c>
      <c r="B33" s="414" t="s">
        <v>169</v>
      </c>
      <c r="C33" s="415">
        <f>SUM('[36]分类汇总表'!BJ93:BJ94)/10</f>
        <v>251.9</v>
      </c>
      <c r="D33" s="415">
        <v>239.7</v>
      </c>
      <c r="E33" s="416">
        <f t="shared" si="0"/>
        <v>12.200000000000017</v>
      </c>
      <c r="F33" s="416">
        <f t="shared" si="1"/>
        <v>5.089695452649153</v>
      </c>
      <c r="G33" s="404"/>
    </row>
    <row r="34" spans="1:7" s="391" customFormat="1" ht="17.25" customHeight="1">
      <c r="A34" s="413" t="s">
        <v>170</v>
      </c>
      <c r="B34" s="414" t="s">
        <v>171</v>
      </c>
      <c r="C34" s="415">
        <f>SUM('[36]分类汇总表'!BJ95:BJ96)/10</f>
        <v>147.65</v>
      </c>
      <c r="D34" s="415">
        <v>185.6</v>
      </c>
      <c r="E34" s="416">
        <f t="shared" si="0"/>
        <v>-37.94999999999999</v>
      </c>
      <c r="F34" s="416">
        <f t="shared" si="1"/>
        <v>-20.447198275862064</v>
      </c>
      <c r="G34" s="404"/>
    </row>
    <row r="35" spans="1:7" s="391" customFormat="1" ht="17.25" customHeight="1">
      <c r="A35" s="413" t="s">
        <v>172</v>
      </c>
      <c r="B35" s="414" t="s">
        <v>173</v>
      </c>
      <c r="C35" s="415">
        <f>SUM('[36]分类汇总表'!BJ97:BJ99)/10</f>
        <v>73.26</v>
      </c>
      <c r="D35" s="415">
        <v>27.3</v>
      </c>
      <c r="E35" s="416">
        <f t="shared" si="0"/>
        <v>45.96000000000001</v>
      </c>
      <c r="F35" s="416">
        <f t="shared" si="1"/>
        <v>168.35164835164835</v>
      </c>
      <c r="G35" s="404"/>
    </row>
    <row r="36" spans="1:7" s="391" customFormat="1" ht="17.25" customHeight="1">
      <c r="A36" s="409">
        <v>20106</v>
      </c>
      <c r="B36" s="410" t="s">
        <v>174</v>
      </c>
      <c r="C36" s="411">
        <f>SUM('[36]分类汇总表'!BJ128)/10</f>
        <v>5293.14</v>
      </c>
      <c r="D36" s="411">
        <v>4993.9</v>
      </c>
      <c r="E36" s="412">
        <f t="shared" si="0"/>
        <v>299.2400000000007</v>
      </c>
      <c r="F36" s="412">
        <f t="shared" si="1"/>
        <v>5.992110374657102</v>
      </c>
      <c r="G36" s="404"/>
    </row>
    <row r="37" spans="1:7" s="391" customFormat="1" ht="17.25" customHeight="1">
      <c r="A37" s="413" t="s">
        <v>175</v>
      </c>
      <c r="B37" s="414" t="s">
        <v>176</v>
      </c>
      <c r="C37" s="415">
        <f>SUM('[36]分类汇总表'!BJ101:BJ102)/10</f>
        <v>1249.77</v>
      </c>
      <c r="D37" s="415">
        <v>1684</v>
      </c>
      <c r="E37" s="416">
        <f t="shared" si="0"/>
        <v>-434.23</v>
      </c>
      <c r="F37" s="416">
        <f aca="true" t="shared" si="2" ref="F37:F57">C37/D37*100-100</f>
        <v>-25.785629453681707</v>
      </c>
      <c r="G37" s="404"/>
    </row>
    <row r="38" spans="1:7" s="391" customFormat="1" ht="17.25" customHeight="1">
      <c r="A38" s="413" t="s">
        <v>177</v>
      </c>
      <c r="B38" s="414" t="s">
        <v>178</v>
      </c>
      <c r="C38" s="415">
        <f>SUM('[36]分类汇总表'!BJ103:BJ105)/10</f>
        <v>1006</v>
      </c>
      <c r="D38" s="415">
        <v>554</v>
      </c>
      <c r="E38" s="416">
        <f t="shared" si="0"/>
        <v>452</v>
      </c>
      <c r="F38" s="416">
        <f t="shared" si="2"/>
        <v>81.5884476534296</v>
      </c>
      <c r="G38" s="404"/>
    </row>
    <row r="39" spans="1:7" s="391" customFormat="1" ht="17.25" customHeight="1">
      <c r="A39" s="413">
        <v>2010605</v>
      </c>
      <c r="B39" s="414" t="s">
        <v>179</v>
      </c>
      <c r="C39" s="415">
        <f>SUM('[36]分类汇总表'!BJ106)/10</f>
        <v>300</v>
      </c>
      <c r="D39" s="415">
        <v>300</v>
      </c>
      <c r="E39" s="416">
        <f t="shared" si="0"/>
        <v>0</v>
      </c>
      <c r="F39" s="416">
        <f t="shared" si="2"/>
        <v>0</v>
      </c>
      <c r="G39" s="404"/>
    </row>
    <row r="40" spans="1:7" s="391" customFormat="1" ht="17.25" customHeight="1">
      <c r="A40" s="413" t="s">
        <v>180</v>
      </c>
      <c r="B40" s="414" t="s">
        <v>181</v>
      </c>
      <c r="C40" s="415">
        <f>SUM('[36]分类汇总表'!BJ107:BJ116)/10</f>
        <v>630.43</v>
      </c>
      <c r="D40" s="415">
        <v>867.6</v>
      </c>
      <c r="E40" s="416">
        <f t="shared" si="0"/>
        <v>-237.17000000000007</v>
      </c>
      <c r="F40" s="416">
        <f t="shared" si="2"/>
        <v>-27.336330106039654</v>
      </c>
      <c r="G40" s="404"/>
    </row>
    <row r="41" spans="1:7" s="391" customFormat="1" ht="17.25" customHeight="1">
      <c r="A41" s="413" t="s">
        <v>182</v>
      </c>
      <c r="B41" s="414" t="s">
        <v>183</v>
      </c>
      <c r="C41" s="415">
        <f>SUM('[36]分类汇总表'!BJ117:BJ127)/10</f>
        <v>2106.94</v>
      </c>
      <c r="D41" s="415">
        <v>1588.4</v>
      </c>
      <c r="E41" s="416">
        <f t="shared" si="0"/>
        <v>518.54</v>
      </c>
      <c r="F41" s="416">
        <f t="shared" si="2"/>
        <v>32.64542936288089</v>
      </c>
      <c r="G41" s="404"/>
    </row>
    <row r="42" spans="1:7" s="391" customFormat="1" ht="17.25" customHeight="1">
      <c r="A42" s="409">
        <v>20107</v>
      </c>
      <c r="B42" s="410" t="s">
        <v>184</v>
      </c>
      <c r="C42" s="411">
        <f>SUM('[36]分类汇总表'!BJ138)/10</f>
        <v>11353.380000000001</v>
      </c>
      <c r="D42" s="411">
        <v>11353.4</v>
      </c>
      <c r="E42" s="412">
        <f t="shared" si="0"/>
        <v>-0.019999999998617568</v>
      </c>
      <c r="F42" s="412">
        <f t="shared" si="2"/>
        <v>-0.00017615868372899968</v>
      </c>
      <c r="G42" s="404"/>
    </row>
    <row r="43" spans="1:7" s="391" customFormat="1" ht="17.25" customHeight="1">
      <c r="A43" s="413" t="s">
        <v>185</v>
      </c>
      <c r="B43" s="414" t="s">
        <v>186</v>
      </c>
      <c r="C43" s="415">
        <f>SUM('[36]分类汇总表'!BJ133:BJ137)/10</f>
        <v>313.38</v>
      </c>
      <c r="D43" s="415">
        <v>313.4</v>
      </c>
      <c r="E43" s="416">
        <f t="shared" si="0"/>
        <v>-0.01999999999998181</v>
      </c>
      <c r="F43" s="416">
        <f t="shared" si="2"/>
        <v>-0.006381620931705356</v>
      </c>
      <c r="G43" s="404"/>
    </row>
    <row r="44" spans="1:7" s="391" customFormat="1" ht="17.25" customHeight="1">
      <c r="A44" s="413">
        <v>2010708</v>
      </c>
      <c r="B44" s="414" t="s">
        <v>187</v>
      </c>
      <c r="C44" s="415">
        <f>SUM('[36]分类汇总表'!BJ129)/10</f>
        <v>20</v>
      </c>
      <c r="D44" s="415">
        <v>20</v>
      </c>
      <c r="E44" s="416">
        <f t="shared" si="0"/>
        <v>0</v>
      </c>
      <c r="F44" s="416">
        <f t="shared" si="2"/>
        <v>0</v>
      </c>
      <c r="G44" s="404"/>
    </row>
    <row r="45" spans="1:7" s="391" customFormat="1" ht="17.25" customHeight="1">
      <c r="A45" s="413">
        <v>2010799</v>
      </c>
      <c r="B45" s="414" t="s">
        <v>188</v>
      </c>
      <c r="C45" s="415">
        <f>SUM('[36]分类汇总表'!BJ130:BJ132)/10</f>
        <v>11020</v>
      </c>
      <c r="D45" s="415">
        <v>11020</v>
      </c>
      <c r="E45" s="416">
        <f t="shared" si="0"/>
        <v>0</v>
      </c>
      <c r="F45" s="416">
        <f t="shared" si="2"/>
        <v>0</v>
      </c>
      <c r="G45" s="404"/>
    </row>
    <row r="46" spans="1:7" s="391" customFormat="1" ht="17.25" customHeight="1">
      <c r="A46" s="409">
        <v>20108</v>
      </c>
      <c r="B46" s="410" t="s">
        <v>189</v>
      </c>
      <c r="C46" s="411">
        <f>SUM('[36]分类汇总表'!BJ141)/10</f>
        <v>1378.15</v>
      </c>
      <c r="D46" s="411">
        <v>1492.2</v>
      </c>
      <c r="E46" s="412">
        <f t="shared" si="0"/>
        <v>-114.04999999999995</v>
      </c>
      <c r="F46" s="412">
        <f t="shared" si="2"/>
        <v>-7.6430773354778125</v>
      </c>
      <c r="G46" s="404"/>
    </row>
    <row r="47" spans="1:7" s="391" customFormat="1" ht="17.25" customHeight="1">
      <c r="A47" s="413" t="s">
        <v>190</v>
      </c>
      <c r="B47" s="414" t="s">
        <v>191</v>
      </c>
      <c r="C47" s="415">
        <f>SUM('[36]分类汇总表'!BJ139)/10</f>
        <v>827.15</v>
      </c>
      <c r="D47" s="415">
        <v>941.2</v>
      </c>
      <c r="E47" s="416">
        <f t="shared" si="0"/>
        <v>-114.05000000000007</v>
      </c>
      <c r="F47" s="416">
        <f t="shared" si="2"/>
        <v>-12.117509562260949</v>
      </c>
      <c r="G47" s="404"/>
    </row>
    <row r="48" spans="1:7" s="391" customFormat="1" ht="17.25" customHeight="1">
      <c r="A48" s="413" t="s">
        <v>192</v>
      </c>
      <c r="B48" s="414" t="s">
        <v>193</v>
      </c>
      <c r="C48" s="415">
        <f>SUM('[36]分类汇总表'!BJ140)/10</f>
        <v>551</v>
      </c>
      <c r="D48" s="415">
        <v>551</v>
      </c>
      <c r="E48" s="416">
        <f t="shared" si="0"/>
        <v>0</v>
      </c>
      <c r="F48" s="416">
        <f t="shared" si="2"/>
        <v>0</v>
      </c>
      <c r="G48" s="404"/>
    </row>
    <row r="49" spans="1:7" s="391" customFormat="1" ht="17.25" customHeight="1">
      <c r="A49" s="409">
        <v>20110</v>
      </c>
      <c r="B49" s="410" t="s">
        <v>194</v>
      </c>
      <c r="C49" s="411">
        <f>SUM('[36]分类汇总表'!BJ160)/10</f>
        <v>3010.65</v>
      </c>
      <c r="D49" s="411">
        <v>2950.4</v>
      </c>
      <c r="E49" s="412">
        <f t="shared" si="0"/>
        <v>60.25</v>
      </c>
      <c r="F49" s="412">
        <f t="shared" si="2"/>
        <v>2.042095986984819</v>
      </c>
      <c r="G49" s="404"/>
    </row>
    <row r="50" spans="1:7" s="391" customFormat="1" ht="17.25" customHeight="1">
      <c r="A50" s="413" t="s">
        <v>195</v>
      </c>
      <c r="B50" s="414" t="s">
        <v>196</v>
      </c>
      <c r="C50" s="415">
        <f>SUM('[36]分类汇总表'!BJ142:BJ144)/10</f>
        <v>1201.79</v>
      </c>
      <c r="D50" s="415">
        <v>1309.1</v>
      </c>
      <c r="E50" s="416">
        <f t="shared" si="0"/>
        <v>-107.30999999999995</v>
      </c>
      <c r="F50" s="416">
        <f t="shared" si="2"/>
        <v>-8.197234741425405</v>
      </c>
      <c r="G50" s="404"/>
    </row>
    <row r="51" spans="1:7" s="391" customFormat="1" ht="17.25" customHeight="1">
      <c r="A51" s="413" t="s">
        <v>197</v>
      </c>
      <c r="B51" s="414" t="s">
        <v>198</v>
      </c>
      <c r="C51" s="415">
        <f>SUM('[36]分类汇总表'!BJ145:BJ146)/10</f>
        <v>735.6600000000001</v>
      </c>
      <c r="D51" s="415">
        <v>680.7</v>
      </c>
      <c r="E51" s="416">
        <f t="shared" si="0"/>
        <v>54.960000000000036</v>
      </c>
      <c r="F51" s="416">
        <f t="shared" si="2"/>
        <v>8.074041427941836</v>
      </c>
      <c r="G51" s="404"/>
    </row>
    <row r="52" spans="1:7" s="391" customFormat="1" ht="17.25" customHeight="1">
      <c r="A52" s="413" t="s">
        <v>199</v>
      </c>
      <c r="B52" s="414" t="s">
        <v>200</v>
      </c>
      <c r="C52" s="415">
        <f>SUM('[36]分类汇总表'!BJ147)/10</f>
        <v>17</v>
      </c>
      <c r="D52" s="415">
        <v>17</v>
      </c>
      <c r="E52" s="416">
        <f t="shared" si="0"/>
        <v>0</v>
      </c>
      <c r="F52" s="416">
        <f t="shared" si="2"/>
        <v>0</v>
      </c>
      <c r="G52" s="404"/>
    </row>
    <row r="53" spans="1:7" s="391" customFormat="1" ht="17.25" customHeight="1">
      <c r="A53" s="413" t="s">
        <v>201</v>
      </c>
      <c r="B53" s="414" t="s">
        <v>202</v>
      </c>
      <c r="C53" s="415">
        <f>SUM('[36]分类汇总表'!BJ148:BJ153)/10</f>
        <v>436.84000000000003</v>
      </c>
      <c r="D53" s="415">
        <v>497.2</v>
      </c>
      <c r="E53" s="416">
        <f t="shared" si="0"/>
        <v>-60.35999999999996</v>
      </c>
      <c r="F53" s="416">
        <f t="shared" si="2"/>
        <v>-12.139983909895406</v>
      </c>
      <c r="G53" s="404"/>
    </row>
    <row r="54" spans="1:7" s="391" customFormat="1" ht="17.25" customHeight="1">
      <c r="A54" s="413" t="s">
        <v>203</v>
      </c>
      <c r="B54" s="414" t="s">
        <v>204</v>
      </c>
      <c r="C54" s="415">
        <f>SUM('[36]分类汇总表'!BJ154:BJ159)/10</f>
        <v>619.36</v>
      </c>
      <c r="D54" s="415">
        <v>446.5</v>
      </c>
      <c r="E54" s="416">
        <f t="shared" si="0"/>
        <v>172.86</v>
      </c>
      <c r="F54" s="416">
        <f t="shared" si="2"/>
        <v>38.71444568868981</v>
      </c>
      <c r="G54" s="404"/>
    </row>
    <row r="55" spans="1:7" s="391" customFormat="1" ht="17.25" customHeight="1">
      <c r="A55" s="409">
        <v>20111</v>
      </c>
      <c r="B55" s="410" t="s">
        <v>205</v>
      </c>
      <c r="C55" s="411">
        <f>'[36]分类汇总表'!BJ164/10</f>
        <v>1491.49</v>
      </c>
      <c r="D55" s="411">
        <v>1526.8</v>
      </c>
      <c r="E55" s="412">
        <f t="shared" si="0"/>
        <v>-35.309999999999945</v>
      </c>
      <c r="F55" s="412">
        <f t="shared" si="2"/>
        <v>-2.312680115273764</v>
      </c>
      <c r="G55" s="404"/>
    </row>
    <row r="56" spans="1:7" s="391" customFormat="1" ht="17.25" customHeight="1">
      <c r="A56" s="413" t="s">
        <v>206</v>
      </c>
      <c r="B56" s="414" t="s">
        <v>207</v>
      </c>
      <c r="C56" s="415">
        <f>SUM('[36]分类汇总表'!BJ161)/10</f>
        <v>999.43</v>
      </c>
      <c r="D56" s="415">
        <v>1055.8</v>
      </c>
      <c r="E56" s="416">
        <f t="shared" si="0"/>
        <v>-56.370000000000005</v>
      </c>
      <c r="F56" s="416">
        <f t="shared" si="2"/>
        <v>-5.339079371093021</v>
      </c>
      <c r="G56" s="404"/>
    </row>
    <row r="57" spans="1:7" s="391" customFormat="1" ht="17.25" customHeight="1">
      <c r="A57" s="413" t="s">
        <v>208</v>
      </c>
      <c r="B57" s="414" t="s">
        <v>209</v>
      </c>
      <c r="C57" s="415">
        <f>SUM('[36]分类汇总表'!BJ162)/10</f>
        <v>471</v>
      </c>
      <c r="D57" s="415">
        <v>471</v>
      </c>
      <c r="E57" s="416">
        <f t="shared" si="0"/>
        <v>0</v>
      </c>
      <c r="F57" s="416">
        <f t="shared" si="2"/>
        <v>0</v>
      </c>
      <c r="G57" s="404"/>
    </row>
    <row r="58" spans="1:7" s="391" customFormat="1" ht="17.25" customHeight="1">
      <c r="A58" s="413">
        <v>2011150</v>
      </c>
      <c r="B58" s="414" t="s">
        <v>210</v>
      </c>
      <c r="C58" s="415">
        <f>'[36]分类汇总表'!BJ163/10</f>
        <v>21.06</v>
      </c>
      <c r="D58" s="415"/>
      <c r="E58" s="416">
        <f t="shared" si="0"/>
        <v>21.06</v>
      </c>
      <c r="F58" s="416"/>
      <c r="G58" s="404"/>
    </row>
    <row r="59" spans="1:7" s="391" customFormat="1" ht="17.25" customHeight="1">
      <c r="A59" s="409">
        <v>20113</v>
      </c>
      <c r="B59" s="410" t="s">
        <v>211</v>
      </c>
      <c r="C59" s="411">
        <f>SUM('[36]分类汇总表'!BJ169)/10</f>
        <v>723.61</v>
      </c>
      <c r="D59" s="411">
        <v>827.4</v>
      </c>
      <c r="E59" s="412">
        <f t="shared" si="0"/>
        <v>-103.78999999999996</v>
      </c>
      <c r="F59" s="412">
        <f aca="true" t="shared" si="3" ref="F59:F66">C59/D59*100-100</f>
        <v>-12.544114092337438</v>
      </c>
      <c r="G59" s="404"/>
    </row>
    <row r="60" spans="1:7" s="391" customFormat="1" ht="17.25" customHeight="1">
      <c r="A60" s="413" t="s">
        <v>212</v>
      </c>
      <c r="B60" s="414" t="s">
        <v>213</v>
      </c>
      <c r="C60" s="415">
        <f>SUM('[36]分类汇总表'!BJ165)/10</f>
        <v>457.6</v>
      </c>
      <c r="D60" s="415">
        <v>522.4</v>
      </c>
      <c r="E60" s="416">
        <f t="shared" si="0"/>
        <v>-64.79999999999995</v>
      </c>
      <c r="F60" s="416">
        <f t="shared" si="3"/>
        <v>-12.404287901990813</v>
      </c>
      <c r="G60" s="404"/>
    </row>
    <row r="61" spans="1:7" s="391" customFormat="1" ht="17.25" customHeight="1">
      <c r="A61" s="413" t="s">
        <v>214</v>
      </c>
      <c r="B61" s="414" t="s">
        <v>215</v>
      </c>
      <c r="C61" s="415">
        <f>SUM('[36]分类汇总表'!BJ166)/10</f>
        <v>133.1</v>
      </c>
      <c r="D61" s="415">
        <v>133.1</v>
      </c>
      <c r="E61" s="416">
        <f t="shared" si="0"/>
        <v>0</v>
      </c>
      <c r="F61" s="416">
        <f t="shared" si="3"/>
        <v>0</v>
      </c>
      <c r="G61" s="404"/>
    </row>
    <row r="62" spans="1:7" s="391" customFormat="1" ht="17.25" customHeight="1">
      <c r="A62" s="413" t="s">
        <v>216</v>
      </c>
      <c r="B62" s="414" t="s">
        <v>217</v>
      </c>
      <c r="C62" s="415">
        <f>SUM('[36]分类汇总表'!BJ167)/10</f>
        <v>93.07000000000001</v>
      </c>
      <c r="D62" s="415">
        <v>132.1</v>
      </c>
      <c r="E62" s="416">
        <f t="shared" si="0"/>
        <v>-39.02999999999999</v>
      </c>
      <c r="F62" s="416">
        <f t="shared" si="3"/>
        <v>-29.545798637395905</v>
      </c>
      <c r="G62" s="404"/>
    </row>
    <row r="63" spans="1:7" s="391" customFormat="1" ht="17.25" customHeight="1">
      <c r="A63" s="413" t="s">
        <v>218</v>
      </c>
      <c r="B63" s="414" t="s">
        <v>219</v>
      </c>
      <c r="C63" s="415">
        <f>SUM('[36]分类汇总表'!BJ168)/10</f>
        <v>39.839999999999996</v>
      </c>
      <c r="D63" s="415">
        <v>39.8</v>
      </c>
      <c r="E63" s="416">
        <f t="shared" si="0"/>
        <v>0.03999999999999915</v>
      </c>
      <c r="F63" s="416">
        <f t="shared" si="3"/>
        <v>0.10050251256281229</v>
      </c>
      <c r="G63" s="404"/>
    </row>
    <row r="64" spans="1:7" s="391" customFormat="1" ht="17.25" customHeight="1">
      <c r="A64" s="409">
        <v>20114</v>
      </c>
      <c r="B64" s="410" t="s">
        <v>220</v>
      </c>
      <c r="C64" s="411">
        <f>SUM('[36]分类汇总表'!BJ174)/10</f>
        <v>1873.47</v>
      </c>
      <c r="D64" s="411">
        <v>1794.7</v>
      </c>
      <c r="E64" s="412">
        <f t="shared" si="0"/>
        <v>78.76999999999998</v>
      </c>
      <c r="F64" s="412">
        <f t="shared" si="3"/>
        <v>4.3890343790048405</v>
      </c>
      <c r="G64" s="404"/>
    </row>
    <row r="65" spans="1:7" s="391" customFormat="1" ht="17.25" customHeight="1">
      <c r="A65" s="413" t="s">
        <v>221</v>
      </c>
      <c r="B65" s="414" t="s">
        <v>222</v>
      </c>
      <c r="C65" s="415">
        <f>SUM('[36]分类汇总表'!BJ170)/10</f>
        <v>103.17</v>
      </c>
      <c r="D65" s="415">
        <v>115.1</v>
      </c>
      <c r="E65" s="416">
        <f t="shared" si="0"/>
        <v>-11.929999999999993</v>
      </c>
      <c r="F65" s="416">
        <f t="shared" si="3"/>
        <v>-10.364900086880965</v>
      </c>
      <c r="G65" s="404"/>
    </row>
    <row r="66" spans="1:7" s="391" customFormat="1" ht="17.25" customHeight="1">
      <c r="A66" s="413" t="s">
        <v>223</v>
      </c>
      <c r="B66" s="414" t="s">
        <v>224</v>
      </c>
      <c r="C66" s="415">
        <f>SUM('[36]分类汇总表'!BJ171:BJ173)/10</f>
        <v>1770.3</v>
      </c>
      <c r="D66" s="415">
        <v>1679.7</v>
      </c>
      <c r="E66" s="416">
        <f t="shared" si="0"/>
        <v>90.59999999999991</v>
      </c>
      <c r="F66" s="416">
        <f t="shared" si="3"/>
        <v>5.393820325058044</v>
      </c>
      <c r="G66" s="404"/>
    </row>
    <row r="67" spans="1:7" s="391" customFormat="1" ht="17.25" customHeight="1">
      <c r="A67" s="409">
        <v>20115</v>
      </c>
      <c r="B67" s="410" t="s">
        <v>225</v>
      </c>
      <c r="C67" s="411">
        <f>SUM('[36]分类汇总表'!BJ191)/10</f>
        <v>4198.1900000000005</v>
      </c>
      <c r="D67" s="411"/>
      <c r="E67" s="412">
        <f t="shared" si="0"/>
        <v>4198.1900000000005</v>
      </c>
      <c r="F67" s="416"/>
      <c r="G67" s="404"/>
    </row>
    <row r="68" spans="1:7" s="391" customFormat="1" ht="17.25" customHeight="1">
      <c r="A68" s="413">
        <v>2011501</v>
      </c>
      <c r="B68" s="414" t="s">
        <v>226</v>
      </c>
      <c r="C68" s="415">
        <f>SUM('[36]分类汇总表'!BJ175)/10</f>
        <v>1549.3700000000001</v>
      </c>
      <c r="D68" s="415"/>
      <c r="E68" s="416">
        <f t="shared" si="0"/>
        <v>1549.3700000000001</v>
      </c>
      <c r="F68" s="416"/>
      <c r="G68" s="404"/>
    </row>
    <row r="69" spans="1:7" s="391" customFormat="1" ht="17.25" customHeight="1">
      <c r="A69" s="413">
        <v>2011502</v>
      </c>
      <c r="B69" s="414" t="s">
        <v>227</v>
      </c>
      <c r="C69" s="415">
        <f>SUM('[36]分类汇总表'!BJ176)/10</f>
        <v>1062</v>
      </c>
      <c r="D69" s="415"/>
      <c r="E69" s="416">
        <f aca="true" t="shared" si="4" ref="E69:E132">C69-D69</f>
        <v>1062</v>
      </c>
      <c r="F69" s="416"/>
      <c r="G69" s="404"/>
    </row>
    <row r="70" spans="1:7" s="391" customFormat="1" ht="17.25" customHeight="1">
      <c r="A70" s="413">
        <v>2011503</v>
      </c>
      <c r="B70" s="414" t="s">
        <v>228</v>
      </c>
      <c r="C70" s="415">
        <f>SUM('[36]分类汇总表'!BJ177)/10</f>
        <v>740.98</v>
      </c>
      <c r="D70" s="415"/>
      <c r="E70" s="416">
        <f t="shared" si="4"/>
        <v>740.98</v>
      </c>
      <c r="F70" s="416"/>
      <c r="G70" s="404"/>
    </row>
    <row r="71" spans="1:7" s="391" customFormat="1" ht="17.25" customHeight="1">
      <c r="A71" s="413">
        <v>2011507</v>
      </c>
      <c r="B71" s="414" t="s">
        <v>229</v>
      </c>
      <c r="C71" s="415">
        <f>SUM('[36]分类汇总表'!BJ178)/10</f>
        <v>50</v>
      </c>
      <c r="D71" s="415"/>
      <c r="E71" s="416">
        <f t="shared" si="4"/>
        <v>50</v>
      </c>
      <c r="F71" s="416"/>
      <c r="G71" s="404"/>
    </row>
    <row r="72" spans="1:7" s="391" customFormat="1" ht="17.25" customHeight="1">
      <c r="A72" s="413">
        <v>2011550</v>
      </c>
      <c r="B72" s="414" t="s">
        <v>230</v>
      </c>
      <c r="C72" s="415">
        <f>SUM('[36]分类汇总表'!BJ179:BJ185)/10</f>
        <v>507.73999999999995</v>
      </c>
      <c r="D72" s="415"/>
      <c r="E72" s="416">
        <f t="shared" si="4"/>
        <v>507.73999999999995</v>
      </c>
      <c r="F72" s="416"/>
      <c r="G72" s="404"/>
    </row>
    <row r="73" spans="1:7" s="391" customFormat="1" ht="17.25" customHeight="1">
      <c r="A73" s="413">
        <v>2011599</v>
      </c>
      <c r="B73" s="414" t="s">
        <v>231</v>
      </c>
      <c r="C73" s="415">
        <f>SUM('[36]分类汇总表'!BJ186:BJ190)/10</f>
        <v>288.1</v>
      </c>
      <c r="D73" s="415"/>
      <c r="E73" s="416">
        <f t="shared" si="4"/>
        <v>288.1</v>
      </c>
      <c r="F73" s="416"/>
      <c r="G73" s="404"/>
    </row>
    <row r="74" spans="1:7" s="391" customFormat="1" ht="17.25" customHeight="1">
      <c r="A74" s="409">
        <v>20117</v>
      </c>
      <c r="B74" s="410" t="s">
        <v>232</v>
      </c>
      <c r="C74" s="411">
        <f>SUM('[36]分类汇总表'!BJ196)/10</f>
        <v>1625.6799999999998</v>
      </c>
      <c r="D74" s="411"/>
      <c r="E74" s="412">
        <f t="shared" si="4"/>
        <v>1625.6799999999998</v>
      </c>
      <c r="F74" s="412"/>
      <c r="G74" s="404"/>
    </row>
    <row r="75" spans="1:7" s="391" customFormat="1" ht="17.25" customHeight="1">
      <c r="A75" s="413">
        <v>2011702</v>
      </c>
      <c r="B75" s="414" t="s">
        <v>233</v>
      </c>
      <c r="C75" s="415">
        <f>SUM('[36]分类汇总表'!BJ192)/10</f>
        <v>935</v>
      </c>
      <c r="D75" s="415"/>
      <c r="E75" s="416">
        <f t="shared" si="4"/>
        <v>935</v>
      </c>
      <c r="F75" s="416"/>
      <c r="G75" s="404"/>
    </row>
    <row r="76" spans="1:7" s="391" customFormat="1" ht="17.25" customHeight="1">
      <c r="A76" s="413">
        <v>2011706</v>
      </c>
      <c r="B76" s="414" t="s">
        <v>234</v>
      </c>
      <c r="C76" s="415">
        <f>SUM('[36]分类汇总表'!BJ193)/10</f>
        <v>300</v>
      </c>
      <c r="D76" s="415"/>
      <c r="E76" s="416">
        <f t="shared" si="4"/>
        <v>300</v>
      </c>
      <c r="F76" s="416"/>
      <c r="G76" s="404"/>
    </row>
    <row r="77" spans="1:7" s="391" customFormat="1" ht="17.25" customHeight="1">
      <c r="A77" s="413">
        <v>2011750</v>
      </c>
      <c r="B77" s="414" t="s">
        <v>235</v>
      </c>
      <c r="C77" s="415">
        <f>SUM('[36]分类汇总表'!BJ194)/10</f>
        <v>154.49</v>
      </c>
      <c r="D77" s="415"/>
      <c r="E77" s="416">
        <f t="shared" si="4"/>
        <v>154.49</v>
      </c>
      <c r="F77" s="416"/>
      <c r="G77" s="404"/>
    </row>
    <row r="78" spans="1:7" s="391" customFormat="1" ht="17.25" customHeight="1">
      <c r="A78" s="413">
        <v>2011799</v>
      </c>
      <c r="B78" s="414" t="s">
        <v>236</v>
      </c>
      <c r="C78" s="415">
        <f>SUM('[36]分类汇总表'!BJ195)/10</f>
        <v>236.19</v>
      </c>
      <c r="D78" s="415"/>
      <c r="E78" s="416">
        <f t="shared" si="4"/>
        <v>236.19</v>
      </c>
      <c r="F78" s="416"/>
      <c r="G78" s="404"/>
    </row>
    <row r="79" spans="1:7" s="391" customFormat="1" ht="17.25" customHeight="1">
      <c r="A79" s="409">
        <v>20124</v>
      </c>
      <c r="B79" s="410" t="s">
        <v>237</v>
      </c>
      <c r="C79" s="411">
        <f>SUM('[36]分类汇总表'!BJ208)/10</f>
        <v>559.0899999999999</v>
      </c>
      <c r="D79" s="411">
        <v>560.6</v>
      </c>
      <c r="E79" s="412">
        <f t="shared" si="4"/>
        <v>-1.5100000000001046</v>
      </c>
      <c r="F79" s="412">
        <f aca="true" t="shared" si="5" ref="F79:F110">C79/D79*100-100</f>
        <v>-0.2693542632893582</v>
      </c>
      <c r="G79" s="404"/>
    </row>
    <row r="80" spans="1:7" s="391" customFormat="1" ht="17.25" customHeight="1">
      <c r="A80" s="413" t="s">
        <v>238</v>
      </c>
      <c r="B80" s="414" t="s">
        <v>239</v>
      </c>
      <c r="C80" s="415">
        <f>SUM('[36]分类汇总表'!BJ197)/10</f>
        <v>166.12</v>
      </c>
      <c r="D80" s="418">
        <v>170.3</v>
      </c>
      <c r="E80" s="416">
        <f t="shared" si="4"/>
        <v>-4.180000000000007</v>
      </c>
      <c r="F80" s="416">
        <f t="shared" si="5"/>
        <v>-2.454492072812684</v>
      </c>
      <c r="G80" s="404"/>
    </row>
    <row r="81" spans="1:7" s="391" customFormat="1" ht="17.25" customHeight="1">
      <c r="A81" s="413" t="s">
        <v>240</v>
      </c>
      <c r="B81" s="414" t="s">
        <v>241</v>
      </c>
      <c r="C81" s="415">
        <f>SUM('[36]分类汇总表'!BJ198)/10</f>
        <v>139</v>
      </c>
      <c r="D81" s="415">
        <v>139</v>
      </c>
      <c r="E81" s="416">
        <f t="shared" si="4"/>
        <v>0</v>
      </c>
      <c r="F81" s="416">
        <f t="shared" si="5"/>
        <v>0</v>
      </c>
      <c r="G81" s="404"/>
    </row>
    <row r="82" spans="1:7" s="391" customFormat="1" ht="17.25" customHeight="1">
      <c r="A82" s="413" t="s">
        <v>242</v>
      </c>
      <c r="B82" s="414" t="s">
        <v>243</v>
      </c>
      <c r="C82" s="415">
        <f>SUM('[36]分类汇总表'!BJ199:BJ203)/10</f>
        <v>50.07</v>
      </c>
      <c r="D82" s="415">
        <v>47.4</v>
      </c>
      <c r="E82" s="416">
        <f t="shared" si="4"/>
        <v>2.6700000000000017</v>
      </c>
      <c r="F82" s="416">
        <f t="shared" si="5"/>
        <v>5.632911392405077</v>
      </c>
      <c r="G82" s="404"/>
    </row>
    <row r="83" spans="1:7" s="391" customFormat="1" ht="17.25" customHeight="1">
      <c r="A83" s="413" t="s">
        <v>244</v>
      </c>
      <c r="B83" s="414" t="s">
        <v>245</v>
      </c>
      <c r="C83" s="415">
        <f>SUM('[36]分类汇总表'!BJ204:BJ207)/10</f>
        <v>203.9</v>
      </c>
      <c r="D83" s="415">
        <v>203.9</v>
      </c>
      <c r="E83" s="416">
        <f t="shared" si="4"/>
        <v>0</v>
      </c>
      <c r="F83" s="416">
        <f t="shared" si="5"/>
        <v>0</v>
      </c>
      <c r="G83" s="404"/>
    </row>
    <row r="84" spans="1:7" s="391" customFormat="1" ht="17.25" customHeight="1">
      <c r="A84" s="409">
        <v>20125</v>
      </c>
      <c r="B84" s="410" t="s">
        <v>246</v>
      </c>
      <c r="C84" s="411">
        <f>SUM('[36]分类汇总表'!BJ211)/10</f>
        <v>287.89</v>
      </c>
      <c r="D84" s="411">
        <v>309.7</v>
      </c>
      <c r="E84" s="412">
        <f t="shared" si="4"/>
        <v>-21.810000000000002</v>
      </c>
      <c r="F84" s="412">
        <f t="shared" si="5"/>
        <v>-7.042298999031331</v>
      </c>
      <c r="G84" s="404"/>
    </row>
    <row r="85" spans="1:7" s="391" customFormat="1" ht="17.25" customHeight="1">
      <c r="A85" s="413" t="s">
        <v>247</v>
      </c>
      <c r="B85" s="414" t="s">
        <v>248</v>
      </c>
      <c r="C85" s="415">
        <f>SUM('[36]分类汇总表'!BJ209)/10</f>
        <v>200.89000000000001</v>
      </c>
      <c r="D85" s="415">
        <v>222.7</v>
      </c>
      <c r="E85" s="416">
        <f t="shared" si="4"/>
        <v>-21.809999999999974</v>
      </c>
      <c r="F85" s="416">
        <f t="shared" si="5"/>
        <v>-9.793444095195312</v>
      </c>
      <c r="G85" s="404"/>
    </row>
    <row r="86" spans="1:7" s="391" customFormat="1" ht="17.25" customHeight="1">
      <c r="A86" s="413" t="s">
        <v>249</v>
      </c>
      <c r="B86" s="414" t="s">
        <v>250</v>
      </c>
      <c r="C86" s="415">
        <f>SUM('[36]分类汇总表'!BJ210)/10</f>
        <v>87</v>
      </c>
      <c r="D86" s="415">
        <v>87</v>
      </c>
      <c r="E86" s="416">
        <f t="shared" si="4"/>
        <v>0</v>
      </c>
      <c r="F86" s="416">
        <f t="shared" si="5"/>
        <v>0</v>
      </c>
      <c r="G86" s="404"/>
    </row>
    <row r="87" spans="1:7" s="391" customFormat="1" ht="17.25" customHeight="1">
      <c r="A87" s="409">
        <v>20126</v>
      </c>
      <c r="B87" s="410" t="s">
        <v>251</v>
      </c>
      <c r="C87" s="411">
        <f>SUM('[36]分类汇总表'!BJ215)/10</f>
        <v>572.8100000000001</v>
      </c>
      <c r="D87" s="411">
        <v>592.9</v>
      </c>
      <c r="E87" s="412">
        <f t="shared" si="4"/>
        <v>-20.089999999999918</v>
      </c>
      <c r="F87" s="412">
        <f t="shared" si="5"/>
        <v>-3.388429752066102</v>
      </c>
      <c r="G87" s="404"/>
    </row>
    <row r="88" spans="1:7" s="391" customFormat="1" ht="17.25" customHeight="1">
      <c r="A88" s="413" t="s">
        <v>252</v>
      </c>
      <c r="B88" s="414" t="s">
        <v>253</v>
      </c>
      <c r="C88" s="415">
        <f>SUM('[36]分类汇总表'!BJ212)/10</f>
        <v>321.90999999999997</v>
      </c>
      <c r="D88" s="415">
        <v>355.3</v>
      </c>
      <c r="E88" s="416">
        <f t="shared" si="4"/>
        <v>-33.39000000000004</v>
      </c>
      <c r="F88" s="416">
        <f t="shared" si="5"/>
        <v>-9.397692091190564</v>
      </c>
      <c r="G88" s="404"/>
    </row>
    <row r="89" spans="1:7" s="391" customFormat="1" ht="17.25" customHeight="1">
      <c r="A89" s="413" t="s">
        <v>254</v>
      </c>
      <c r="B89" s="414" t="s">
        <v>255</v>
      </c>
      <c r="C89" s="415">
        <f>SUM('[36]分类汇总表'!BJ213)/10</f>
        <v>240.9</v>
      </c>
      <c r="D89" s="415">
        <v>227.6</v>
      </c>
      <c r="E89" s="416">
        <f t="shared" si="4"/>
        <v>13.300000000000011</v>
      </c>
      <c r="F89" s="416">
        <f t="shared" si="5"/>
        <v>5.843585237258367</v>
      </c>
      <c r="G89" s="404"/>
    </row>
    <row r="90" spans="1:7" s="391" customFormat="1" ht="17.25" customHeight="1">
      <c r="A90" s="413">
        <v>2012604</v>
      </c>
      <c r="B90" s="414" t="s">
        <v>256</v>
      </c>
      <c r="C90" s="415">
        <f>SUM('[36]分类汇总表'!BJ214)/10</f>
        <v>10</v>
      </c>
      <c r="D90" s="415">
        <v>10</v>
      </c>
      <c r="E90" s="416">
        <f t="shared" si="4"/>
        <v>0</v>
      </c>
      <c r="F90" s="416">
        <f t="shared" si="5"/>
        <v>0</v>
      </c>
      <c r="G90" s="404"/>
    </row>
    <row r="91" spans="1:7" s="391" customFormat="1" ht="17.25" customHeight="1">
      <c r="A91" s="409">
        <v>20128</v>
      </c>
      <c r="B91" s="410" t="s">
        <v>257</v>
      </c>
      <c r="C91" s="411">
        <f>SUM('[36]分类汇总表'!BJ237)/10</f>
        <v>1824.9599999999998</v>
      </c>
      <c r="D91" s="411">
        <v>1787.2</v>
      </c>
      <c r="E91" s="412">
        <f t="shared" si="4"/>
        <v>37.75999999999976</v>
      </c>
      <c r="F91" s="412">
        <f t="shared" si="5"/>
        <v>2.1128021486123316</v>
      </c>
      <c r="G91" s="404"/>
    </row>
    <row r="92" spans="1:7" s="391" customFormat="1" ht="17.25" customHeight="1">
      <c r="A92" s="413" t="s">
        <v>258</v>
      </c>
      <c r="B92" s="414" t="s">
        <v>259</v>
      </c>
      <c r="C92" s="415">
        <f>SUM('[36]分类汇总表'!BJ216:BJ222)/10</f>
        <v>831.96</v>
      </c>
      <c r="D92" s="415">
        <v>909.2</v>
      </c>
      <c r="E92" s="416">
        <f t="shared" si="4"/>
        <v>-77.24000000000001</v>
      </c>
      <c r="F92" s="416">
        <f t="shared" si="5"/>
        <v>-8.49538055433348</v>
      </c>
      <c r="G92" s="404"/>
    </row>
    <row r="93" spans="1:7" s="391" customFormat="1" ht="17.25" customHeight="1">
      <c r="A93" s="413" t="s">
        <v>260</v>
      </c>
      <c r="B93" s="414" t="s">
        <v>261</v>
      </c>
      <c r="C93" s="415">
        <f>SUM('[36]分类汇总表'!BJ223:BJ229)/10</f>
        <v>937</v>
      </c>
      <c r="D93" s="415">
        <v>822</v>
      </c>
      <c r="E93" s="416">
        <f t="shared" si="4"/>
        <v>115</v>
      </c>
      <c r="F93" s="416">
        <f t="shared" si="5"/>
        <v>13.990267639902669</v>
      </c>
      <c r="G93" s="404"/>
    </row>
    <row r="94" spans="1:7" s="391" customFormat="1" ht="17.25" customHeight="1">
      <c r="A94" s="413" t="s">
        <v>262</v>
      </c>
      <c r="B94" s="414" t="s">
        <v>263</v>
      </c>
      <c r="C94" s="415">
        <f>SUM('[36]分类汇总表'!BJ230:BJ236)/10</f>
        <v>56</v>
      </c>
      <c r="D94" s="415">
        <v>56</v>
      </c>
      <c r="E94" s="416">
        <f t="shared" si="4"/>
        <v>0</v>
      </c>
      <c r="F94" s="416">
        <f t="shared" si="5"/>
        <v>0</v>
      </c>
      <c r="G94" s="404"/>
    </row>
    <row r="95" spans="1:7" s="391" customFormat="1" ht="17.25" customHeight="1">
      <c r="A95" s="409">
        <v>20129</v>
      </c>
      <c r="B95" s="410" t="s">
        <v>264</v>
      </c>
      <c r="C95" s="411">
        <f>SUM('[36]分类汇总表'!BJ260)/10</f>
        <v>3278.3900000000003</v>
      </c>
      <c r="D95" s="411">
        <v>3327</v>
      </c>
      <c r="E95" s="412">
        <f t="shared" si="4"/>
        <v>-48.60999999999967</v>
      </c>
      <c r="F95" s="412">
        <f t="shared" si="5"/>
        <v>-1.4610760444845141</v>
      </c>
      <c r="G95" s="404"/>
    </row>
    <row r="96" spans="1:7" s="391" customFormat="1" ht="17.25" customHeight="1">
      <c r="A96" s="413" t="s">
        <v>265</v>
      </c>
      <c r="B96" s="414" t="s">
        <v>266</v>
      </c>
      <c r="C96" s="415">
        <f>SUM('[36]分类汇总表'!BJ238:BJ244)/10</f>
        <v>1138.3600000000001</v>
      </c>
      <c r="D96" s="415">
        <v>1332</v>
      </c>
      <c r="E96" s="416">
        <f t="shared" si="4"/>
        <v>-193.63999999999987</v>
      </c>
      <c r="F96" s="416">
        <f t="shared" si="5"/>
        <v>-14.537537537537531</v>
      </c>
      <c r="G96" s="404"/>
    </row>
    <row r="97" spans="1:7" s="391" customFormat="1" ht="17.25" customHeight="1">
      <c r="A97" s="413" t="s">
        <v>267</v>
      </c>
      <c r="B97" s="414" t="s">
        <v>268</v>
      </c>
      <c r="C97" s="415">
        <f>SUM('[36]分类汇总表'!BJ245:BJ250)/10</f>
        <v>1785.36</v>
      </c>
      <c r="D97" s="415">
        <v>1695.5</v>
      </c>
      <c r="E97" s="416">
        <f t="shared" si="4"/>
        <v>89.8599999999999</v>
      </c>
      <c r="F97" s="416">
        <f t="shared" si="5"/>
        <v>5.2999115305219675</v>
      </c>
      <c r="G97" s="404"/>
    </row>
    <row r="98" spans="1:7" s="391" customFormat="1" ht="17.25" customHeight="1">
      <c r="A98" s="413" t="s">
        <v>269</v>
      </c>
      <c r="B98" s="414" t="s">
        <v>270</v>
      </c>
      <c r="C98" s="415">
        <f>SUM('[36]分类汇总表'!BJ251)/10</f>
        <v>43.08</v>
      </c>
      <c r="D98" s="415">
        <v>47.2</v>
      </c>
      <c r="E98" s="416">
        <f t="shared" si="4"/>
        <v>-4.1200000000000045</v>
      </c>
      <c r="F98" s="416">
        <f t="shared" si="5"/>
        <v>-8.728813559322049</v>
      </c>
      <c r="G98" s="404"/>
    </row>
    <row r="99" spans="1:7" s="391" customFormat="1" ht="17.25" customHeight="1">
      <c r="A99" s="413" t="s">
        <v>271</v>
      </c>
      <c r="B99" s="414" t="s">
        <v>272</v>
      </c>
      <c r="C99" s="415">
        <f>SUM('[36]分类汇总表'!BJ252:BJ259)/10</f>
        <v>311.59000000000003</v>
      </c>
      <c r="D99" s="415">
        <v>252.4</v>
      </c>
      <c r="E99" s="416">
        <f t="shared" si="4"/>
        <v>59.190000000000026</v>
      </c>
      <c r="F99" s="416">
        <f t="shared" si="5"/>
        <v>23.450871632329637</v>
      </c>
      <c r="G99" s="404"/>
    </row>
    <row r="100" spans="1:7" s="391" customFormat="1" ht="17.25" customHeight="1">
      <c r="A100" s="409">
        <v>20131</v>
      </c>
      <c r="B100" s="410" t="s">
        <v>273</v>
      </c>
      <c r="C100" s="411">
        <f>SUM('[36]分类汇总表'!BJ264)/10</f>
        <v>1778.92</v>
      </c>
      <c r="D100" s="411">
        <v>1858.3</v>
      </c>
      <c r="E100" s="412">
        <f t="shared" si="4"/>
        <v>-79.37999999999988</v>
      </c>
      <c r="F100" s="412">
        <f t="shared" si="5"/>
        <v>-4.271646128181658</v>
      </c>
      <c r="G100" s="404"/>
    </row>
    <row r="101" spans="1:7" s="391" customFormat="1" ht="17.25" customHeight="1">
      <c r="A101" s="413" t="s">
        <v>274</v>
      </c>
      <c r="B101" s="414" t="s">
        <v>275</v>
      </c>
      <c r="C101" s="415">
        <f>SUM('[36]分类汇总表'!BJ261)/10</f>
        <v>790.79</v>
      </c>
      <c r="D101" s="415">
        <v>847.5</v>
      </c>
      <c r="E101" s="416">
        <f t="shared" si="4"/>
        <v>-56.710000000000036</v>
      </c>
      <c r="F101" s="416">
        <f t="shared" si="5"/>
        <v>-6.69144542772861</v>
      </c>
      <c r="G101" s="404"/>
    </row>
    <row r="102" spans="1:7" s="391" customFormat="1" ht="17.25" customHeight="1">
      <c r="A102" s="413" t="s">
        <v>276</v>
      </c>
      <c r="B102" s="414" t="s">
        <v>277</v>
      </c>
      <c r="C102" s="415">
        <f>SUM('[36]分类汇总表'!BJ262)/10</f>
        <v>863.2</v>
      </c>
      <c r="D102" s="415">
        <v>863.2</v>
      </c>
      <c r="E102" s="416">
        <f t="shared" si="4"/>
        <v>0</v>
      </c>
      <c r="F102" s="416">
        <f t="shared" si="5"/>
        <v>0</v>
      </c>
      <c r="G102" s="404"/>
    </row>
    <row r="103" spans="1:7" s="391" customFormat="1" ht="17.25" customHeight="1">
      <c r="A103" s="413" t="s">
        <v>278</v>
      </c>
      <c r="B103" s="414" t="s">
        <v>279</v>
      </c>
      <c r="C103" s="415">
        <f>SUM('[36]分类汇总表'!BJ263)/10</f>
        <v>124.92999999999999</v>
      </c>
      <c r="D103" s="415">
        <v>147.6</v>
      </c>
      <c r="E103" s="416">
        <f t="shared" si="4"/>
        <v>-22.67</v>
      </c>
      <c r="F103" s="416">
        <f t="shared" si="5"/>
        <v>-15.359078590785913</v>
      </c>
      <c r="G103" s="404"/>
    </row>
    <row r="104" spans="1:7" s="391" customFormat="1" ht="17.25" customHeight="1">
      <c r="A104" s="409">
        <v>20132</v>
      </c>
      <c r="B104" s="410" t="s">
        <v>280</v>
      </c>
      <c r="C104" s="411">
        <f>SUM('[36]分类汇总表'!BJ268)/10</f>
        <v>1052.71</v>
      </c>
      <c r="D104" s="411">
        <v>1033.9</v>
      </c>
      <c r="E104" s="412">
        <f t="shared" si="4"/>
        <v>18.809999999999945</v>
      </c>
      <c r="F104" s="412">
        <f t="shared" si="5"/>
        <v>1.8193248863526321</v>
      </c>
      <c r="G104" s="404"/>
    </row>
    <row r="105" spans="1:7" s="391" customFormat="1" ht="17.25" customHeight="1">
      <c r="A105" s="413" t="s">
        <v>281</v>
      </c>
      <c r="B105" s="414" t="s">
        <v>282</v>
      </c>
      <c r="C105" s="415">
        <f>SUM('[36]分类汇总表'!BJ265)/10</f>
        <v>522.26</v>
      </c>
      <c r="D105" s="415">
        <v>574.6</v>
      </c>
      <c r="E105" s="416">
        <f t="shared" si="4"/>
        <v>-52.34000000000003</v>
      </c>
      <c r="F105" s="416">
        <f t="shared" si="5"/>
        <v>-9.108945353289258</v>
      </c>
      <c r="G105" s="404"/>
    </row>
    <row r="106" spans="1:7" s="391" customFormat="1" ht="17.25" customHeight="1">
      <c r="A106" s="413" t="s">
        <v>283</v>
      </c>
      <c r="B106" s="414" t="s">
        <v>284</v>
      </c>
      <c r="C106" s="415">
        <f>SUM('[36]分类汇总表'!BJ266)/10</f>
        <v>446</v>
      </c>
      <c r="D106" s="415">
        <v>354.2</v>
      </c>
      <c r="E106" s="416">
        <f t="shared" si="4"/>
        <v>91.80000000000001</v>
      </c>
      <c r="F106" s="416">
        <f t="shared" si="5"/>
        <v>25.91756070016939</v>
      </c>
      <c r="G106" s="404"/>
    </row>
    <row r="107" spans="1:7" s="391" customFormat="1" ht="17.25" customHeight="1">
      <c r="A107" s="413" t="s">
        <v>285</v>
      </c>
      <c r="B107" s="414" t="s">
        <v>286</v>
      </c>
      <c r="C107" s="415">
        <f>SUM('[36]分类汇总表'!BJ267)/10</f>
        <v>84.45</v>
      </c>
      <c r="D107" s="415">
        <v>105.1</v>
      </c>
      <c r="E107" s="416">
        <f t="shared" si="4"/>
        <v>-20.64999999999999</v>
      </c>
      <c r="F107" s="416">
        <f t="shared" si="5"/>
        <v>-19.647954329210265</v>
      </c>
      <c r="G107" s="404"/>
    </row>
    <row r="108" spans="1:7" s="391" customFormat="1" ht="17.25" customHeight="1">
      <c r="A108" s="409">
        <v>20133</v>
      </c>
      <c r="B108" s="410" t="s">
        <v>287</v>
      </c>
      <c r="C108" s="411">
        <f>SUM('[36]分类汇总表'!BJ273)/10</f>
        <v>634.0600000000001</v>
      </c>
      <c r="D108" s="411">
        <v>689</v>
      </c>
      <c r="E108" s="412">
        <f t="shared" si="4"/>
        <v>-54.93999999999994</v>
      </c>
      <c r="F108" s="412">
        <f t="shared" si="5"/>
        <v>-7.973875181422343</v>
      </c>
      <c r="G108" s="404"/>
    </row>
    <row r="109" spans="1:7" s="391" customFormat="1" ht="17.25" customHeight="1">
      <c r="A109" s="413" t="s">
        <v>288</v>
      </c>
      <c r="B109" s="414" t="s">
        <v>289</v>
      </c>
      <c r="C109" s="415">
        <f>SUM('[36]分类汇总表'!BJ269)/10</f>
        <v>389.40999999999997</v>
      </c>
      <c r="D109" s="415">
        <v>453.9</v>
      </c>
      <c r="E109" s="416">
        <f t="shared" si="4"/>
        <v>-64.49000000000001</v>
      </c>
      <c r="F109" s="416">
        <f t="shared" si="5"/>
        <v>-14.207975324961453</v>
      </c>
      <c r="G109" s="404"/>
    </row>
    <row r="110" spans="1:7" s="391" customFormat="1" ht="17.25" customHeight="1">
      <c r="A110" s="413" t="s">
        <v>290</v>
      </c>
      <c r="B110" s="414" t="s">
        <v>291</v>
      </c>
      <c r="C110" s="415">
        <f>SUM('[36]分类汇总表'!BJ270)/10</f>
        <v>74.5</v>
      </c>
      <c r="D110" s="415">
        <v>74.5</v>
      </c>
      <c r="E110" s="416">
        <f t="shared" si="4"/>
        <v>0</v>
      </c>
      <c r="F110" s="416">
        <f t="shared" si="5"/>
        <v>0</v>
      </c>
      <c r="G110" s="404"/>
    </row>
    <row r="111" spans="1:7" s="391" customFormat="1" ht="17.25" customHeight="1">
      <c r="A111" s="413" t="s">
        <v>292</v>
      </c>
      <c r="B111" s="414" t="s">
        <v>293</v>
      </c>
      <c r="C111" s="415">
        <f>SUM('[36]分类汇总表'!BJ271)/10</f>
        <v>82.15</v>
      </c>
      <c r="D111" s="415">
        <v>72.6</v>
      </c>
      <c r="E111" s="416">
        <f t="shared" si="4"/>
        <v>9.550000000000011</v>
      </c>
      <c r="F111" s="416">
        <f aca="true" t="shared" si="6" ref="F111:F141">C111/D111*100-100</f>
        <v>13.154269972451814</v>
      </c>
      <c r="G111" s="404"/>
    </row>
    <row r="112" spans="1:7" s="391" customFormat="1" ht="17.25" customHeight="1">
      <c r="A112" s="413" t="s">
        <v>294</v>
      </c>
      <c r="B112" s="414" t="s">
        <v>295</v>
      </c>
      <c r="C112" s="415">
        <f>SUM('[36]分类汇总表'!BJ272)/10</f>
        <v>88</v>
      </c>
      <c r="D112" s="415">
        <v>88</v>
      </c>
      <c r="E112" s="416">
        <f t="shared" si="4"/>
        <v>0</v>
      </c>
      <c r="F112" s="416">
        <f t="shared" si="6"/>
        <v>0</v>
      </c>
      <c r="G112" s="404"/>
    </row>
    <row r="113" spans="1:7" s="391" customFormat="1" ht="17.25" customHeight="1">
      <c r="A113" s="409">
        <v>20134</v>
      </c>
      <c r="B113" s="410" t="s">
        <v>296</v>
      </c>
      <c r="C113" s="411">
        <f>SUM('[36]分类汇总表'!BJ276)/10</f>
        <v>551.87</v>
      </c>
      <c r="D113" s="411">
        <v>469</v>
      </c>
      <c r="E113" s="416">
        <f t="shared" si="4"/>
        <v>82.87</v>
      </c>
      <c r="F113" s="416">
        <f t="shared" si="6"/>
        <v>17.66950959488274</v>
      </c>
      <c r="G113" s="404"/>
    </row>
    <row r="114" spans="1:7" s="391" customFormat="1" ht="17.25" customHeight="1">
      <c r="A114" s="413" t="s">
        <v>297</v>
      </c>
      <c r="B114" s="414" t="s">
        <v>298</v>
      </c>
      <c r="C114" s="415">
        <f>SUM('[36]分类汇总表'!BJ274)/10</f>
        <v>272.87</v>
      </c>
      <c r="D114" s="415">
        <v>290</v>
      </c>
      <c r="E114" s="416">
        <f t="shared" si="4"/>
        <v>-17.129999999999995</v>
      </c>
      <c r="F114" s="416">
        <f t="shared" si="6"/>
        <v>-5.906896551724145</v>
      </c>
      <c r="G114" s="404"/>
    </row>
    <row r="115" spans="1:7" s="391" customFormat="1" ht="17.25" customHeight="1">
      <c r="A115" s="413" t="s">
        <v>299</v>
      </c>
      <c r="B115" s="414" t="s">
        <v>300</v>
      </c>
      <c r="C115" s="415">
        <f>SUM('[36]分类汇总表'!BJ275)/10</f>
        <v>279</v>
      </c>
      <c r="D115" s="415">
        <v>179</v>
      </c>
      <c r="E115" s="416">
        <f t="shared" si="4"/>
        <v>100</v>
      </c>
      <c r="F115" s="416">
        <f t="shared" si="6"/>
        <v>55.86592178770951</v>
      </c>
      <c r="G115" s="404"/>
    </row>
    <row r="116" spans="1:7" s="391" customFormat="1" ht="17.25" customHeight="1">
      <c r="A116" s="409">
        <v>20136</v>
      </c>
      <c r="B116" s="410" t="s">
        <v>301</v>
      </c>
      <c r="C116" s="411">
        <f>SUM('[36]分类汇总表'!BJ295)/10</f>
        <v>3607.81</v>
      </c>
      <c r="D116" s="411">
        <v>3811.7</v>
      </c>
      <c r="E116" s="412">
        <f t="shared" si="4"/>
        <v>-203.88999999999987</v>
      </c>
      <c r="F116" s="412">
        <f t="shared" si="6"/>
        <v>-5.349056851273701</v>
      </c>
      <c r="G116" s="404"/>
    </row>
    <row r="117" spans="1:7" s="391" customFormat="1" ht="17.25" customHeight="1">
      <c r="A117" s="413" t="s">
        <v>302</v>
      </c>
      <c r="B117" s="414" t="s">
        <v>303</v>
      </c>
      <c r="C117" s="415">
        <f>SUM('[36]分类汇总表'!BJ277:BJ281)/10</f>
        <v>1428.1699999999998</v>
      </c>
      <c r="D117" s="415">
        <v>1580.7</v>
      </c>
      <c r="E117" s="416">
        <f t="shared" si="4"/>
        <v>-152.5300000000002</v>
      </c>
      <c r="F117" s="416">
        <f t="shared" si="6"/>
        <v>-9.64952236350986</v>
      </c>
      <c r="G117" s="404"/>
    </row>
    <row r="118" spans="1:7" s="391" customFormat="1" ht="17.25" customHeight="1">
      <c r="A118" s="413" t="s">
        <v>304</v>
      </c>
      <c r="B118" s="414" t="s">
        <v>305</v>
      </c>
      <c r="C118" s="415">
        <f>SUM('[36]分类汇总表'!BJ282:BJ288)/10</f>
        <v>1086.5</v>
      </c>
      <c r="D118" s="415">
        <v>1089.5</v>
      </c>
      <c r="E118" s="416">
        <f t="shared" si="4"/>
        <v>-3</v>
      </c>
      <c r="F118" s="416">
        <f t="shared" si="6"/>
        <v>-0.2753556677375002</v>
      </c>
      <c r="G118" s="404"/>
    </row>
    <row r="119" spans="1:7" s="391" customFormat="1" ht="17.25" customHeight="1">
      <c r="A119" s="413" t="s">
        <v>306</v>
      </c>
      <c r="B119" s="414" t="s">
        <v>307</v>
      </c>
      <c r="C119" s="415">
        <f>SUM('[36]分类汇总表'!BJ289:BJ290)/10</f>
        <v>95.94</v>
      </c>
      <c r="D119" s="415">
        <v>130.1</v>
      </c>
      <c r="E119" s="416">
        <f t="shared" si="4"/>
        <v>-34.16</v>
      </c>
      <c r="F119" s="416">
        <f t="shared" si="6"/>
        <v>-26.256725595695613</v>
      </c>
      <c r="G119" s="404"/>
    </row>
    <row r="120" spans="1:7" s="391" customFormat="1" ht="17.25" customHeight="1">
      <c r="A120" s="413" t="s">
        <v>308</v>
      </c>
      <c r="B120" s="414" t="s">
        <v>309</v>
      </c>
      <c r="C120" s="415">
        <f>SUM('[36]分类汇总表'!BJ291:BJ294)/10</f>
        <v>997.2</v>
      </c>
      <c r="D120" s="415">
        <v>1011.4</v>
      </c>
      <c r="E120" s="416">
        <f t="shared" si="4"/>
        <v>-14.199999999999932</v>
      </c>
      <c r="F120" s="416">
        <f t="shared" si="6"/>
        <v>-1.4039944631204122</v>
      </c>
      <c r="G120" s="404"/>
    </row>
    <row r="121" spans="1:7" s="391" customFormat="1" ht="17.25" customHeight="1">
      <c r="A121" s="409">
        <v>20199</v>
      </c>
      <c r="B121" s="410" t="s">
        <v>310</v>
      </c>
      <c r="C121" s="411">
        <f>SUM('[36]分类汇总表'!BJ298)/10</f>
        <v>850</v>
      </c>
      <c r="D121" s="411">
        <v>1605.6</v>
      </c>
      <c r="E121" s="412">
        <f t="shared" si="4"/>
        <v>-755.5999999999999</v>
      </c>
      <c r="F121" s="412">
        <f t="shared" si="6"/>
        <v>-47.06028898854011</v>
      </c>
      <c r="G121" s="404"/>
    </row>
    <row r="122" spans="1:7" s="391" customFormat="1" ht="17.25" customHeight="1">
      <c r="A122" s="413">
        <v>2019999</v>
      </c>
      <c r="B122" s="414" t="s">
        <v>311</v>
      </c>
      <c r="C122" s="415">
        <f>SUM('[36]分类汇总表'!BJ296:BJ297)/10</f>
        <v>850</v>
      </c>
      <c r="D122" s="415">
        <v>1605.6</v>
      </c>
      <c r="E122" s="416">
        <f t="shared" si="4"/>
        <v>-755.5999999999999</v>
      </c>
      <c r="F122" s="416">
        <f t="shared" si="6"/>
        <v>-47.06028898854011</v>
      </c>
      <c r="G122" s="404"/>
    </row>
    <row r="123" spans="1:7" s="392" customFormat="1" ht="17.25" customHeight="1">
      <c r="A123" s="405">
        <v>203</v>
      </c>
      <c r="B123" s="405" t="s">
        <v>312</v>
      </c>
      <c r="C123" s="406">
        <f>SUM('[36]分类汇总表'!BJ306)/10</f>
        <v>811.85</v>
      </c>
      <c r="D123" s="406">
        <v>811.9</v>
      </c>
      <c r="E123" s="407">
        <f t="shared" si="4"/>
        <v>-0.049999999999954525</v>
      </c>
      <c r="F123" s="407">
        <f t="shared" si="6"/>
        <v>-0.006158393890871139</v>
      </c>
      <c r="G123" s="419"/>
    </row>
    <row r="124" spans="1:7" s="391" customFormat="1" ht="17.25" customHeight="1">
      <c r="A124" s="409">
        <v>20399</v>
      </c>
      <c r="B124" s="410" t="s">
        <v>313</v>
      </c>
      <c r="C124" s="411">
        <f>SUM('[36]分类汇总表'!BJ305)/10</f>
        <v>811.85</v>
      </c>
      <c r="D124" s="411">
        <v>811.9</v>
      </c>
      <c r="E124" s="412">
        <f t="shared" si="4"/>
        <v>-0.049999999999954525</v>
      </c>
      <c r="F124" s="412">
        <f t="shared" si="6"/>
        <v>-0.006158393890871139</v>
      </c>
      <c r="G124" s="404"/>
    </row>
    <row r="125" spans="1:7" s="391" customFormat="1" ht="17.25" customHeight="1">
      <c r="A125" s="413" t="s">
        <v>314</v>
      </c>
      <c r="B125" s="414" t="s">
        <v>315</v>
      </c>
      <c r="C125" s="415">
        <f>SUM('[36]分类汇总表'!BJ300:BJ304)/10</f>
        <v>811.85</v>
      </c>
      <c r="D125" s="415">
        <v>811.9</v>
      </c>
      <c r="E125" s="416">
        <f t="shared" si="4"/>
        <v>-0.049999999999954525</v>
      </c>
      <c r="F125" s="416">
        <f t="shared" si="6"/>
        <v>-0.006158393890871139</v>
      </c>
      <c r="G125" s="404"/>
    </row>
    <row r="126" spans="1:7" s="391" customFormat="1" ht="17.25" customHeight="1">
      <c r="A126" s="405">
        <v>204</v>
      </c>
      <c r="B126" s="405" t="s">
        <v>316</v>
      </c>
      <c r="C126" s="406">
        <f>SUM('[36]分类汇总表'!BJ378)/10</f>
        <v>99780.45</v>
      </c>
      <c r="D126" s="406">
        <v>91356.7</v>
      </c>
      <c r="E126" s="407">
        <f t="shared" si="4"/>
        <v>8423.75</v>
      </c>
      <c r="F126" s="407">
        <f t="shared" si="6"/>
        <v>9.22072491672752</v>
      </c>
      <c r="G126" s="408"/>
    </row>
    <row r="127" spans="1:7" s="391" customFormat="1" ht="17.25" customHeight="1">
      <c r="A127" s="409">
        <v>20401</v>
      </c>
      <c r="B127" s="410" t="s">
        <v>317</v>
      </c>
      <c r="C127" s="411">
        <f>SUM('[36]分类汇总表'!BJ311)/10</f>
        <v>7373.139999999999</v>
      </c>
      <c r="D127" s="411">
        <v>7278.6</v>
      </c>
      <c r="E127" s="412">
        <f t="shared" si="4"/>
        <v>94.53999999999905</v>
      </c>
      <c r="F127" s="412">
        <f t="shared" si="6"/>
        <v>1.2988761575027894</v>
      </c>
      <c r="G127" s="404"/>
    </row>
    <row r="128" spans="1:7" s="391" customFormat="1" ht="17.25" customHeight="1">
      <c r="A128" s="413" t="s">
        <v>318</v>
      </c>
      <c r="B128" s="414" t="s">
        <v>319</v>
      </c>
      <c r="C128" s="415">
        <f>SUM('[36]分类汇总表'!BJ307)/10</f>
        <v>555</v>
      </c>
      <c r="D128" s="415">
        <v>555</v>
      </c>
      <c r="E128" s="416">
        <f t="shared" si="4"/>
        <v>0</v>
      </c>
      <c r="F128" s="416">
        <f t="shared" si="6"/>
        <v>0</v>
      </c>
      <c r="G128" s="404"/>
    </row>
    <row r="129" spans="1:7" s="391" customFormat="1" ht="17.25" customHeight="1">
      <c r="A129" s="413" t="s">
        <v>320</v>
      </c>
      <c r="B129" s="414" t="s">
        <v>321</v>
      </c>
      <c r="C129" s="415">
        <f>SUM('[36]分类汇总表'!BJ308)/10</f>
        <v>751.3</v>
      </c>
      <c r="D129" s="415">
        <v>686.8</v>
      </c>
      <c r="E129" s="416">
        <f t="shared" si="4"/>
        <v>64.5</v>
      </c>
      <c r="F129" s="416">
        <f t="shared" si="6"/>
        <v>9.391380314502044</v>
      </c>
      <c r="G129" s="404"/>
    </row>
    <row r="130" spans="1:7" s="391" customFormat="1" ht="17.25" customHeight="1">
      <c r="A130" s="413">
        <v>2040103</v>
      </c>
      <c r="B130" s="414" t="s">
        <v>322</v>
      </c>
      <c r="C130" s="415">
        <f>SUM('[36]分类汇总表'!BJ309)/10</f>
        <v>5905.2</v>
      </c>
      <c r="D130" s="415">
        <v>5905.2</v>
      </c>
      <c r="E130" s="416">
        <f t="shared" si="4"/>
        <v>0</v>
      </c>
      <c r="F130" s="416">
        <f t="shared" si="6"/>
        <v>0</v>
      </c>
      <c r="G130" s="404"/>
    </row>
    <row r="131" spans="1:7" s="391" customFormat="1" ht="17.25" customHeight="1">
      <c r="A131" s="413" t="s">
        <v>323</v>
      </c>
      <c r="B131" s="414" t="s">
        <v>324</v>
      </c>
      <c r="C131" s="415">
        <f>SUM('[36]分类汇总表'!BJ310)/10</f>
        <v>161.64000000000001</v>
      </c>
      <c r="D131" s="415">
        <v>131.6</v>
      </c>
      <c r="E131" s="416">
        <f t="shared" si="4"/>
        <v>30.04000000000002</v>
      </c>
      <c r="F131" s="416">
        <f t="shared" si="6"/>
        <v>22.82674772036475</v>
      </c>
      <c r="G131" s="404"/>
    </row>
    <row r="132" spans="1:7" s="391" customFormat="1" ht="17.25" customHeight="1">
      <c r="A132" s="409">
        <v>20402</v>
      </c>
      <c r="B132" s="410" t="s">
        <v>325</v>
      </c>
      <c r="C132" s="411">
        <f>SUM('[36]分类汇总表'!BJ338)/10</f>
        <v>58547.380000000005</v>
      </c>
      <c r="D132" s="411">
        <v>53747.1</v>
      </c>
      <c r="E132" s="412">
        <f t="shared" si="4"/>
        <v>4800.280000000006</v>
      </c>
      <c r="F132" s="412">
        <f t="shared" si="6"/>
        <v>8.931235359675242</v>
      </c>
      <c r="G132" s="404"/>
    </row>
    <row r="133" spans="1:7" s="391" customFormat="1" ht="17.25" customHeight="1">
      <c r="A133" s="413" t="s">
        <v>326</v>
      </c>
      <c r="B133" s="414" t="s">
        <v>327</v>
      </c>
      <c r="C133" s="415">
        <f>SUM('[36]分类汇总表'!BJ312:BJ322)/10</f>
        <v>31292.28</v>
      </c>
      <c r="D133" s="415">
        <v>30661.5</v>
      </c>
      <c r="E133" s="416">
        <f aca="true" t="shared" si="7" ref="E133:E196">C133-D133</f>
        <v>630.7799999999988</v>
      </c>
      <c r="F133" s="416">
        <f t="shared" si="6"/>
        <v>2.05723790421213</v>
      </c>
      <c r="G133" s="404"/>
    </row>
    <row r="134" spans="1:7" s="391" customFormat="1" ht="17.25" customHeight="1">
      <c r="A134" s="413" t="s">
        <v>328</v>
      </c>
      <c r="B134" s="414" t="s">
        <v>329</v>
      </c>
      <c r="C134" s="415">
        <f>SUM('[36]分类汇总表'!BJ323:BJ334)/10</f>
        <v>16099.6</v>
      </c>
      <c r="D134" s="415">
        <v>15730.1</v>
      </c>
      <c r="E134" s="416">
        <f t="shared" si="7"/>
        <v>369.5</v>
      </c>
      <c r="F134" s="416">
        <f t="shared" si="6"/>
        <v>2.3489996884953115</v>
      </c>
      <c r="G134" s="404"/>
    </row>
    <row r="135" spans="1:7" s="391" customFormat="1" ht="17.25" customHeight="1">
      <c r="A135" s="413">
        <v>2040212</v>
      </c>
      <c r="B135" s="414" t="s">
        <v>330</v>
      </c>
      <c r="C135" s="415">
        <f>SUM('[36]分类汇总表'!BJ335:BJ336)/10</f>
        <v>11100</v>
      </c>
      <c r="D135" s="415">
        <v>7300</v>
      </c>
      <c r="E135" s="416">
        <f t="shared" si="7"/>
        <v>3800</v>
      </c>
      <c r="F135" s="416">
        <f t="shared" si="6"/>
        <v>52.054794520547944</v>
      </c>
      <c r="G135" s="404"/>
    </row>
    <row r="136" spans="1:7" s="391" customFormat="1" ht="17.25" customHeight="1">
      <c r="A136" s="413">
        <v>2040218</v>
      </c>
      <c r="B136" s="414" t="s">
        <v>331</v>
      </c>
      <c r="C136" s="415">
        <f>SUM('[36]分类汇总表'!BJ337)/10</f>
        <v>55.5</v>
      </c>
      <c r="D136" s="415">
        <v>55.5</v>
      </c>
      <c r="E136" s="416">
        <f t="shared" si="7"/>
        <v>0</v>
      </c>
      <c r="F136" s="416">
        <f t="shared" si="6"/>
        <v>0</v>
      </c>
      <c r="G136" s="404"/>
    </row>
    <row r="137" spans="1:7" s="391" customFormat="1" ht="17.25" customHeight="1">
      <c r="A137" s="409">
        <v>20403</v>
      </c>
      <c r="B137" s="410" t="s">
        <v>332</v>
      </c>
      <c r="C137" s="411">
        <f>SUM('[36]分类汇总表'!BJ340)/10</f>
        <v>257</v>
      </c>
      <c r="D137" s="411">
        <v>257</v>
      </c>
      <c r="E137" s="416">
        <f t="shared" si="7"/>
        <v>0</v>
      </c>
      <c r="F137" s="416">
        <f t="shared" si="6"/>
        <v>0</v>
      </c>
      <c r="G137" s="404"/>
    </row>
    <row r="138" spans="1:7" s="391" customFormat="1" ht="17.25" customHeight="1">
      <c r="A138" s="413" t="s">
        <v>333</v>
      </c>
      <c r="B138" s="414" t="s">
        <v>334</v>
      </c>
      <c r="C138" s="415">
        <f>SUM('[36]分类汇总表'!BJ339)/10</f>
        <v>257</v>
      </c>
      <c r="D138" s="415">
        <v>257</v>
      </c>
      <c r="E138" s="416">
        <f t="shared" si="7"/>
        <v>0</v>
      </c>
      <c r="F138" s="416">
        <f t="shared" si="6"/>
        <v>0</v>
      </c>
      <c r="G138" s="404"/>
    </row>
    <row r="139" spans="1:7" s="391" customFormat="1" ht="17.25" customHeight="1">
      <c r="A139" s="409">
        <v>20404</v>
      </c>
      <c r="B139" s="410" t="s">
        <v>335</v>
      </c>
      <c r="C139" s="411">
        <f>SUM('[36]分类汇总表'!BJ346)/10</f>
        <v>3533.15</v>
      </c>
      <c r="D139" s="411">
        <v>3881.2</v>
      </c>
      <c r="E139" s="412">
        <f t="shared" si="7"/>
        <v>-348.0499999999997</v>
      </c>
      <c r="F139" s="412">
        <f t="shared" si="6"/>
        <v>-8.96758734412036</v>
      </c>
      <c r="G139" s="404"/>
    </row>
    <row r="140" spans="1:7" s="391" customFormat="1" ht="17.25" customHeight="1">
      <c r="A140" s="413" t="s">
        <v>336</v>
      </c>
      <c r="B140" s="414" t="s">
        <v>337</v>
      </c>
      <c r="C140" s="415">
        <f>SUM('[36]分类汇总表'!BJ341:BJ342)/10</f>
        <v>2446.9199999999996</v>
      </c>
      <c r="D140" s="415">
        <v>2934.2</v>
      </c>
      <c r="E140" s="416">
        <f t="shared" si="7"/>
        <v>-487.2800000000002</v>
      </c>
      <c r="F140" s="416">
        <f t="shared" si="6"/>
        <v>-16.606911594301693</v>
      </c>
      <c r="G140" s="404"/>
    </row>
    <row r="141" spans="1:7" s="391" customFormat="1" ht="17.25" customHeight="1">
      <c r="A141" s="413" t="s">
        <v>338</v>
      </c>
      <c r="B141" s="414" t="s">
        <v>339</v>
      </c>
      <c r="C141" s="415">
        <f>SUM('[36]分类汇总表'!BJ343:BJ344)/10</f>
        <v>1056.8</v>
      </c>
      <c r="D141" s="415">
        <v>947</v>
      </c>
      <c r="E141" s="416">
        <f t="shared" si="7"/>
        <v>109.79999999999995</v>
      </c>
      <c r="F141" s="416">
        <f t="shared" si="6"/>
        <v>11.59450897571277</v>
      </c>
      <c r="G141" s="404"/>
    </row>
    <row r="142" spans="1:7" s="391" customFormat="1" ht="17.25" customHeight="1">
      <c r="A142" s="413">
        <v>2040450</v>
      </c>
      <c r="B142" s="414" t="s">
        <v>340</v>
      </c>
      <c r="C142" s="415">
        <f>SUM('[36]分类汇总表'!BJ345)/10</f>
        <v>29.43</v>
      </c>
      <c r="D142" s="415"/>
      <c r="E142" s="416">
        <f t="shared" si="7"/>
        <v>29.43</v>
      </c>
      <c r="F142" s="416"/>
      <c r="G142" s="404"/>
    </row>
    <row r="143" spans="1:7" s="391" customFormat="1" ht="17.25" customHeight="1">
      <c r="A143" s="409">
        <v>20405</v>
      </c>
      <c r="B143" s="410" t="s">
        <v>341</v>
      </c>
      <c r="C143" s="411">
        <f>SUM('[36]分类汇总表'!BJ349)/10</f>
        <v>3759.66</v>
      </c>
      <c r="D143" s="411">
        <v>4083.5</v>
      </c>
      <c r="E143" s="412">
        <f t="shared" si="7"/>
        <v>-323.84000000000015</v>
      </c>
      <c r="F143" s="412">
        <f aca="true" t="shared" si="8" ref="F143:F157">C143/D143*100-100</f>
        <v>-7.930451818293136</v>
      </c>
      <c r="G143" s="404"/>
    </row>
    <row r="144" spans="1:7" s="391" customFormat="1" ht="17.25" customHeight="1">
      <c r="A144" s="413" t="s">
        <v>342</v>
      </c>
      <c r="B144" s="414" t="s">
        <v>343</v>
      </c>
      <c r="C144" s="415">
        <f>SUM('[36]分类汇总表'!BJ347)/10</f>
        <v>2469.46</v>
      </c>
      <c r="D144" s="415">
        <v>2893.3</v>
      </c>
      <c r="E144" s="416">
        <f t="shared" si="7"/>
        <v>-423.84000000000015</v>
      </c>
      <c r="F144" s="416">
        <f t="shared" si="8"/>
        <v>-14.64901669374072</v>
      </c>
      <c r="G144" s="404"/>
    </row>
    <row r="145" spans="1:7" s="391" customFormat="1" ht="17.25" customHeight="1">
      <c r="A145" s="413" t="s">
        <v>344</v>
      </c>
      <c r="B145" s="414" t="s">
        <v>345</v>
      </c>
      <c r="C145" s="415">
        <f>SUM('[36]分类汇总表'!BJ348)/10</f>
        <v>1290.2</v>
      </c>
      <c r="D145" s="415">
        <v>1190.2</v>
      </c>
      <c r="E145" s="416">
        <f t="shared" si="7"/>
        <v>100</v>
      </c>
      <c r="F145" s="416">
        <f t="shared" si="8"/>
        <v>8.40194925222653</v>
      </c>
      <c r="G145" s="404"/>
    </row>
    <row r="146" spans="1:7" s="391" customFormat="1" ht="17.25" customHeight="1">
      <c r="A146" s="409">
        <v>20406</v>
      </c>
      <c r="B146" s="410" t="s">
        <v>346</v>
      </c>
      <c r="C146" s="411">
        <f>SUM('[36]分类汇总表'!BJ360)/10</f>
        <v>2508.2799999999997</v>
      </c>
      <c r="D146" s="411">
        <v>2882.5</v>
      </c>
      <c r="E146" s="412">
        <f t="shared" si="7"/>
        <v>-374.22000000000025</v>
      </c>
      <c r="F146" s="412">
        <f t="shared" si="8"/>
        <v>-12.982480485689521</v>
      </c>
      <c r="G146" s="404"/>
    </row>
    <row r="147" spans="1:7" s="391" customFormat="1" ht="17.25" customHeight="1">
      <c r="A147" s="413" t="s">
        <v>347</v>
      </c>
      <c r="B147" s="414" t="s">
        <v>348</v>
      </c>
      <c r="C147" s="415">
        <f>SUM('[36]分类汇总表'!BJ350:BJ351)/10</f>
        <v>1052.68</v>
      </c>
      <c r="D147" s="415">
        <v>1218.5</v>
      </c>
      <c r="E147" s="416">
        <f t="shared" si="7"/>
        <v>-165.81999999999994</v>
      </c>
      <c r="F147" s="416">
        <f t="shared" si="8"/>
        <v>-13.608535084119808</v>
      </c>
      <c r="G147" s="404"/>
    </row>
    <row r="148" spans="1:7" s="391" customFormat="1" ht="17.25" customHeight="1">
      <c r="A148" s="413" t="s">
        <v>349</v>
      </c>
      <c r="B148" s="414" t="s">
        <v>350</v>
      </c>
      <c r="C148" s="415">
        <f>SUM('[36]分类汇总表'!BJ352:BJ353)/10</f>
        <v>318.8</v>
      </c>
      <c r="D148" s="415">
        <v>337.2</v>
      </c>
      <c r="E148" s="416">
        <f t="shared" si="7"/>
        <v>-18.399999999999977</v>
      </c>
      <c r="F148" s="416">
        <f t="shared" si="8"/>
        <v>-5.456702253855269</v>
      </c>
      <c r="G148" s="404"/>
    </row>
    <row r="149" spans="1:7" s="391" customFormat="1" ht="17.25" customHeight="1">
      <c r="A149" s="413" t="s">
        <v>351</v>
      </c>
      <c r="B149" s="414" t="s">
        <v>352</v>
      </c>
      <c r="C149" s="415">
        <f>SUM('[36]分类汇总表'!BJ354)/10</f>
        <v>112.5</v>
      </c>
      <c r="D149" s="415">
        <v>112.5</v>
      </c>
      <c r="E149" s="416">
        <f t="shared" si="7"/>
        <v>0</v>
      </c>
      <c r="F149" s="416">
        <f t="shared" si="8"/>
        <v>0</v>
      </c>
      <c r="G149" s="404"/>
    </row>
    <row r="150" spans="1:7" s="391" customFormat="1" ht="17.25" customHeight="1">
      <c r="A150" s="413" t="s">
        <v>353</v>
      </c>
      <c r="B150" s="414" t="s">
        <v>354</v>
      </c>
      <c r="C150" s="415">
        <f>SUM('[36]分类汇总表'!BJ355)/10</f>
        <v>77</v>
      </c>
      <c r="D150" s="415">
        <v>77</v>
      </c>
      <c r="E150" s="416">
        <f t="shared" si="7"/>
        <v>0</v>
      </c>
      <c r="F150" s="416">
        <f t="shared" si="8"/>
        <v>0</v>
      </c>
      <c r="G150" s="404"/>
    </row>
    <row r="151" spans="1:7" s="391" customFormat="1" ht="17.25" customHeight="1">
      <c r="A151" s="413" t="s">
        <v>355</v>
      </c>
      <c r="B151" s="414" t="s">
        <v>356</v>
      </c>
      <c r="C151" s="415">
        <f>SUM('[36]分类汇总表'!BJ356)/10</f>
        <v>46</v>
      </c>
      <c r="D151" s="415">
        <v>36</v>
      </c>
      <c r="E151" s="416">
        <f t="shared" si="7"/>
        <v>10</v>
      </c>
      <c r="F151" s="416">
        <f t="shared" si="8"/>
        <v>27.77777777777777</v>
      </c>
      <c r="G151" s="404"/>
    </row>
    <row r="152" spans="1:7" s="391" customFormat="1" ht="17.25" customHeight="1">
      <c r="A152" s="413" t="s">
        <v>357</v>
      </c>
      <c r="B152" s="414" t="s">
        <v>358</v>
      </c>
      <c r="C152" s="415">
        <f>SUM('[36]分类汇总表'!BJ357)/10</f>
        <v>120</v>
      </c>
      <c r="D152" s="415">
        <v>120</v>
      </c>
      <c r="E152" s="416">
        <f t="shared" si="7"/>
        <v>0</v>
      </c>
      <c r="F152" s="416">
        <f t="shared" si="8"/>
        <v>0</v>
      </c>
      <c r="G152" s="404"/>
    </row>
    <row r="153" spans="1:7" s="391" customFormat="1" ht="17.25" customHeight="1">
      <c r="A153" s="413">
        <v>2040650</v>
      </c>
      <c r="B153" s="414" t="s">
        <v>359</v>
      </c>
      <c r="C153" s="415">
        <f>SUM('[36]分类汇总表'!BJ358)/10</f>
        <v>581.3</v>
      </c>
      <c r="D153" s="415">
        <v>781.3</v>
      </c>
      <c r="E153" s="416">
        <f t="shared" si="7"/>
        <v>-200</v>
      </c>
      <c r="F153" s="416">
        <f t="shared" si="8"/>
        <v>-25.598361704850888</v>
      </c>
      <c r="G153" s="404"/>
    </row>
    <row r="154" spans="1:7" s="391" customFormat="1" ht="17.25" customHeight="1">
      <c r="A154" s="413">
        <v>2040699</v>
      </c>
      <c r="B154" s="414" t="s">
        <v>360</v>
      </c>
      <c r="C154" s="415">
        <f>SUM('[36]分类汇总表'!BJ359)/10</f>
        <v>200</v>
      </c>
      <c r="D154" s="415">
        <v>200</v>
      </c>
      <c r="E154" s="416">
        <f t="shared" si="7"/>
        <v>0</v>
      </c>
      <c r="F154" s="416">
        <f t="shared" si="8"/>
        <v>0</v>
      </c>
      <c r="G154" s="404"/>
    </row>
    <row r="155" spans="1:7" s="391" customFormat="1" ht="17.25" customHeight="1">
      <c r="A155" s="409">
        <v>20408</v>
      </c>
      <c r="B155" s="410" t="s">
        <v>361</v>
      </c>
      <c r="C155" s="411">
        <f>SUM('[36]分类汇总表'!BJ364)/10</f>
        <v>2575.9900000000002</v>
      </c>
      <c r="D155" s="411">
        <v>2500</v>
      </c>
      <c r="E155" s="412">
        <f t="shared" si="7"/>
        <v>75.99000000000024</v>
      </c>
      <c r="F155" s="412">
        <f t="shared" si="8"/>
        <v>3.039600000000007</v>
      </c>
      <c r="G155" s="404"/>
    </row>
    <row r="156" spans="1:7" s="391" customFormat="1" ht="17.25" customHeight="1">
      <c r="A156" s="413" t="s">
        <v>362</v>
      </c>
      <c r="B156" s="414" t="s">
        <v>363</v>
      </c>
      <c r="C156" s="415">
        <f>SUM('[36]分类汇总表'!BJ361)/10</f>
        <v>1647.44</v>
      </c>
      <c r="D156" s="415">
        <v>1679.3</v>
      </c>
      <c r="E156" s="416">
        <f t="shared" si="7"/>
        <v>-31.8599999999999</v>
      </c>
      <c r="F156" s="416">
        <f t="shared" si="8"/>
        <v>-1.8972190793783028</v>
      </c>
      <c r="G156" s="404"/>
    </row>
    <row r="157" spans="1:7" s="391" customFormat="1" ht="17.25" customHeight="1">
      <c r="A157" s="413" t="s">
        <v>364</v>
      </c>
      <c r="B157" s="414" t="s">
        <v>365</v>
      </c>
      <c r="C157" s="415">
        <f>SUM('[36]分类汇总表'!BJ362)/10</f>
        <v>319</v>
      </c>
      <c r="D157" s="415">
        <v>820.8</v>
      </c>
      <c r="E157" s="416">
        <f t="shared" si="7"/>
        <v>-501.79999999999995</v>
      </c>
      <c r="F157" s="416">
        <f t="shared" si="8"/>
        <v>-61.135477582846</v>
      </c>
      <c r="G157" s="404"/>
    </row>
    <row r="158" spans="1:7" s="391" customFormat="1" ht="17.25" customHeight="1">
      <c r="A158" s="413">
        <v>2040804</v>
      </c>
      <c r="B158" s="414" t="s">
        <v>366</v>
      </c>
      <c r="C158" s="415">
        <f>SUM('[36]分类汇总表'!BJ363)/10</f>
        <v>609.55</v>
      </c>
      <c r="D158" s="415"/>
      <c r="E158" s="416">
        <f t="shared" si="7"/>
        <v>609.55</v>
      </c>
      <c r="F158" s="416"/>
      <c r="G158" s="404"/>
    </row>
    <row r="159" spans="1:7" s="391" customFormat="1" ht="17.25" customHeight="1">
      <c r="A159" s="409">
        <v>20409</v>
      </c>
      <c r="B159" s="410" t="s">
        <v>367</v>
      </c>
      <c r="C159" s="411">
        <f>SUM('[36]分类汇总表'!BJ369)/10</f>
        <v>256.85</v>
      </c>
      <c r="D159" s="411">
        <v>268.7</v>
      </c>
      <c r="E159" s="412">
        <f t="shared" si="7"/>
        <v>-11.849999999999966</v>
      </c>
      <c r="F159" s="412">
        <f aca="true" t="shared" si="9" ref="F159:F199">C159/D159*100-100</f>
        <v>-4.4101228135466926</v>
      </c>
      <c r="G159" s="404"/>
    </row>
    <row r="160" spans="1:7" s="391" customFormat="1" ht="17.25" customHeight="1">
      <c r="A160" s="413" t="s">
        <v>368</v>
      </c>
      <c r="B160" s="414" t="s">
        <v>369</v>
      </c>
      <c r="C160" s="415">
        <f>SUM('[36]分类汇总表'!BJ365)/10</f>
        <v>155.48</v>
      </c>
      <c r="D160" s="415">
        <v>163.9</v>
      </c>
      <c r="E160" s="416">
        <f t="shared" si="7"/>
        <v>-8.420000000000016</v>
      </c>
      <c r="F160" s="416">
        <f t="shared" si="9"/>
        <v>-5.1372788285540025</v>
      </c>
      <c r="G160" s="404"/>
    </row>
    <row r="161" spans="1:7" s="391" customFormat="1" ht="17.25" customHeight="1">
      <c r="A161" s="413" t="s">
        <v>370</v>
      </c>
      <c r="B161" s="414" t="s">
        <v>371</v>
      </c>
      <c r="C161" s="415">
        <f>SUM('[36]分类汇总表'!BJ366)/10</f>
        <v>84.8</v>
      </c>
      <c r="D161" s="415">
        <v>84.8</v>
      </c>
      <c r="E161" s="416">
        <f t="shared" si="7"/>
        <v>0</v>
      </c>
      <c r="F161" s="416">
        <f t="shared" si="9"/>
        <v>0</v>
      </c>
      <c r="G161" s="404"/>
    </row>
    <row r="162" spans="1:7" s="391" customFormat="1" ht="17.25" customHeight="1">
      <c r="A162" s="413" t="s">
        <v>372</v>
      </c>
      <c r="B162" s="414" t="s">
        <v>373</v>
      </c>
      <c r="C162" s="415">
        <f>SUM('[36]分类汇总表'!BJ367)/10</f>
        <v>14.95</v>
      </c>
      <c r="D162" s="415">
        <v>18.4</v>
      </c>
      <c r="E162" s="416">
        <f t="shared" si="7"/>
        <v>-3.4499999999999993</v>
      </c>
      <c r="F162" s="416">
        <f t="shared" si="9"/>
        <v>-18.75</v>
      </c>
      <c r="G162" s="404"/>
    </row>
    <row r="163" spans="1:7" s="391" customFormat="1" ht="17.25" customHeight="1">
      <c r="A163" s="413" t="s">
        <v>374</v>
      </c>
      <c r="B163" s="414" t="s">
        <v>375</v>
      </c>
      <c r="C163" s="415">
        <f>SUM('[36]分类汇总表'!BJ368)/10</f>
        <v>1.6199999999999999</v>
      </c>
      <c r="D163" s="415">
        <v>1.6</v>
      </c>
      <c r="E163" s="416">
        <f t="shared" si="7"/>
        <v>0.019999999999999796</v>
      </c>
      <c r="F163" s="416">
        <f t="shared" si="9"/>
        <v>1.25</v>
      </c>
      <c r="G163" s="404"/>
    </row>
    <row r="164" spans="1:7" s="391" customFormat="1" ht="17.25" customHeight="1">
      <c r="A164" s="409">
        <v>20499</v>
      </c>
      <c r="B164" s="410" t="s">
        <v>376</v>
      </c>
      <c r="C164" s="411">
        <f>SUM('[36]分类汇总表'!BJ377)/10</f>
        <v>20969</v>
      </c>
      <c r="D164" s="411">
        <v>16458</v>
      </c>
      <c r="E164" s="412">
        <f t="shared" si="7"/>
        <v>4511</v>
      </c>
      <c r="F164" s="412">
        <f t="shared" si="9"/>
        <v>27.409162717219587</v>
      </c>
      <c r="G164" s="404"/>
    </row>
    <row r="165" spans="1:7" s="391" customFormat="1" ht="17.25" customHeight="1">
      <c r="A165" s="413" t="s">
        <v>377</v>
      </c>
      <c r="B165" s="414" t="s">
        <v>378</v>
      </c>
      <c r="C165" s="415">
        <f>SUM('[36]分类汇总表'!BJ370:BJ376)/10</f>
        <v>20969</v>
      </c>
      <c r="D165" s="415">
        <v>16458</v>
      </c>
      <c r="E165" s="416">
        <f t="shared" si="7"/>
        <v>4511</v>
      </c>
      <c r="F165" s="416">
        <f t="shared" si="9"/>
        <v>27.409162717219587</v>
      </c>
      <c r="G165" s="404"/>
    </row>
    <row r="166" spans="1:7" s="391" customFormat="1" ht="17.25" customHeight="1">
      <c r="A166" s="405">
        <v>205</v>
      </c>
      <c r="B166" s="405" t="s">
        <v>379</v>
      </c>
      <c r="C166" s="406">
        <f>SUM('[36]分类汇总表'!BJ475)/10</f>
        <v>249551.12000000002</v>
      </c>
      <c r="D166" s="406">
        <v>234407.7</v>
      </c>
      <c r="E166" s="407">
        <f t="shared" si="7"/>
        <v>15143.420000000013</v>
      </c>
      <c r="F166" s="407">
        <f t="shared" si="9"/>
        <v>6.460291193506023</v>
      </c>
      <c r="G166" s="408"/>
    </row>
    <row r="167" spans="1:7" s="391" customFormat="1" ht="17.25" customHeight="1">
      <c r="A167" s="409">
        <v>20501</v>
      </c>
      <c r="B167" s="410" t="s">
        <v>380</v>
      </c>
      <c r="C167" s="411">
        <f>SUM('[36]分类汇总表'!BJ387)/10</f>
        <v>4216.8</v>
      </c>
      <c r="D167" s="411">
        <v>4958.2</v>
      </c>
      <c r="E167" s="412">
        <f t="shared" si="7"/>
        <v>-741.3999999999996</v>
      </c>
      <c r="F167" s="412">
        <f t="shared" si="9"/>
        <v>-14.953007139687784</v>
      </c>
      <c r="G167" s="404"/>
    </row>
    <row r="168" spans="1:7" s="391" customFormat="1" ht="17.25" customHeight="1">
      <c r="A168" s="413" t="s">
        <v>381</v>
      </c>
      <c r="B168" s="414" t="s">
        <v>382</v>
      </c>
      <c r="C168" s="415">
        <f>SUM('[36]分类汇总表'!BJ379)/10</f>
        <v>408.16999999999996</v>
      </c>
      <c r="D168" s="415">
        <v>461.7</v>
      </c>
      <c r="E168" s="416">
        <f t="shared" si="7"/>
        <v>-53.53000000000003</v>
      </c>
      <c r="F168" s="416">
        <f t="shared" si="9"/>
        <v>-11.594108728611658</v>
      </c>
      <c r="G168" s="404"/>
    </row>
    <row r="169" spans="1:7" s="391" customFormat="1" ht="17.25" customHeight="1">
      <c r="A169" s="413" t="s">
        <v>383</v>
      </c>
      <c r="B169" s="414" t="s">
        <v>384</v>
      </c>
      <c r="C169" s="415">
        <f>SUM('[36]分类汇总表'!BJ380)/10</f>
        <v>357</v>
      </c>
      <c r="D169" s="415">
        <v>367</v>
      </c>
      <c r="E169" s="416">
        <f t="shared" si="7"/>
        <v>-10</v>
      </c>
      <c r="F169" s="416">
        <f t="shared" si="9"/>
        <v>-2.724795640326974</v>
      </c>
      <c r="G169" s="404"/>
    </row>
    <row r="170" spans="1:7" s="391" customFormat="1" ht="17.25" customHeight="1">
      <c r="A170" s="413" t="s">
        <v>385</v>
      </c>
      <c r="B170" s="414" t="s">
        <v>386</v>
      </c>
      <c r="C170" s="415">
        <f>SUM('[36]分类汇总表'!BJ381:BJ386)/10</f>
        <v>3451.63</v>
      </c>
      <c r="D170" s="415">
        <v>4129.5</v>
      </c>
      <c r="E170" s="416">
        <f t="shared" si="7"/>
        <v>-677.8699999999999</v>
      </c>
      <c r="F170" s="416">
        <f t="shared" si="9"/>
        <v>-16.41530451628526</v>
      </c>
      <c r="G170" s="404"/>
    </row>
    <row r="171" spans="1:7" s="391" customFormat="1" ht="17.25" customHeight="1">
      <c r="A171" s="409">
        <v>20502</v>
      </c>
      <c r="B171" s="410" t="s">
        <v>387</v>
      </c>
      <c r="C171" s="411">
        <f>SUM('[36]分类汇总表'!BJ439)/10</f>
        <v>88949.76</v>
      </c>
      <c r="D171" s="411">
        <v>93045.8</v>
      </c>
      <c r="E171" s="412">
        <f t="shared" si="7"/>
        <v>-4096.040000000008</v>
      </c>
      <c r="F171" s="412">
        <f t="shared" si="9"/>
        <v>-4.402176132614272</v>
      </c>
      <c r="G171" s="404"/>
    </row>
    <row r="172" spans="1:7" s="391" customFormat="1" ht="17.25" customHeight="1">
      <c r="A172" s="413" t="s">
        <v>388</v>
      </c>
      <c r="B172" s="414" t="s">
        <v>389</v>
      </c>
      <c r="C172" s="415">
        <f>SUM('[36]分类汇总表'!BJ388:BJ391)/10</f>
        <v>2661.0899999999997</v>
      </c>
      <c r="D172" s="415">
        <v>2821.1</v>
      </c>
      <c r="E172" s="416">
        <f t="shared" si="7"/>
        <v>-160.01000000000022</v>
      </c>
      <c r="F172" s="416">
        <f t="shared" si="9"/>
        <v>-5.671901031512533</v>
      </c>
      <c r="G172" s="404"/>
    </row>
    <row r="173" spans="1:7" s="391" customFormat="1" ht="17.25" customHeight="1">
      <c r="A173" s="413" t="s">
        <v>390</v>
      </c>
      <c r="B173" s="414" t="s">
        <v>391</v>
      </c>
      <c r="C173" s="415">
        <f>SUM('[36]分类汇总表'!BJ392)/10</f>
        <v>3397.2599999999998</v>
      </c>
      <c r="D173" s="415">
        <v>3413.8</v>
      </c>
      <c r="E173" s="416">
        <f t="shared" si="7"/>
        <v>-16.54000000000042</v>
      </c>
      <c r="F173" s="416">
        <f t="shared" si="9"/>
        <v>-0.4845040717089546</v>
      </c>
      <c r="G173" s="404"/>
    </row>
    <row r="174" spans="1:7" s="391" customFormat="1" ht="17.25" customHeight="1">
      <c r="A174" s="413" t="s">
        <v>392</v>
      </c>
      <c r="B174" s="414" t="s">
        <v>393</v>
      </c>
      <c r="C174" s="415">
        <f>SUM('[36]分类汇总表'!BJ393:BJ400)/10</f>
        <v>6523.76</v>
      </c>
      <c r="D174" s="415">
        <v>6765.7</v>
      </c>
      <c r="E174" s="416">
        <f t="shared" si="7"/>
        <v>-241.9399999999996</v>
      </c>
      <c r="F174" s="416">
        <f t="shared" si="9"/>
        <v>-3.575978834414755</v>
      </c>
      <c r="G174" s="404"/>
    </row>
    <row r="175" spans="1:7" s="391" customFormat="1" ht="17.25" customHeight="1">
      <c r="A175" s="413" t="s">
        <v>394</v>
      </c>
      <c r="B175" s="414" t="s">
        <v>395</v>
      </c>
      <c r="C175" s="415">
        <f>SUM('[36]分类汇总表'!BJ401:BJ426)/10</f>
        <v>54815.249999999985</v>
      </c>
      <c r="D175" s="415">
        <v>56831.8</v>
      </c>
      <c r="E175" s="416">
        <f t="shared" si="7"/>
        <v>-2016.5500000000175</v>
      </c>
      <c r="F175" s="416">
        <f t="shared" si="9"/>
        <v>-3.5482775488371203</v>
      </c>
      <c r="G175" s="404"/>
    </row>
    <row r="176" spans="1:7" s="391" customFormat="1" ht="17.25" customHeight="1">
      <c r="A176" s="413" t="s">
        <v>396</v>
      </c>
      <c r="B176" s="414" t="s">
        <v>397</v>
      </c>
      <c r="C176" s="415">
        <f>SUM('[36]分类汇总表'!BJ427)/10</f>
        <v>11439.4</v>
      </c>
      <c r="D176" s="415">
        <v>11000.4</v>
      </c>
      <c r="E176" s="416">
        <f t="shared" si="7"/>
        <v>439</v>
      </c>
      <c r="F176" s="416">
        <f t="shared" si="9"/>
        <v>3.9907639722191988</v>
      </c>
      <c r="G176" s="404"/>
    </row>
    <row r="177" spans="1:7" s="391" customFormat="1" ht="17.25" customHeight="1">
      <c r="A177" s="413">
        <v>2050299</v>
      </c>
      <c r="B177" s="414" t="s">
        <v>398</v>
      </c>
      <c r="C177" s="415">
        <f>SUM('[36]分类汇总表'!BJ428:BJ438)/10</f>
        <v>10113</v>
      </c>
      <c r="D177" s="415">
        <v>12213</v>
      </c>
      <c r="E177" s="416">
        <f t="shared" si="7"/>
        <v>-2100</v>
      </c>
      <c r="F177" s="416">
        <f t="shared" si="9"/>
        <v>-17.19479243429133</v>
      </c>
      <c r="G177" s="404"/>
    </row>
    <row r="178" spans="1:7" s="391" customFormat="1" ht="17.25" customHeight="1">
      <c r="A178" s="409">
        <v>20503</v>
      </c>
      <c r="B178" s="410" t="s">
        <v>399</v>
      </c>
      <c r="C178" s="411">
        <f>SUM('[36]分类汇总表'!BJ450)/10</f>
        <v>9951.36</v>
      </c>
      <c r="D178" s="411">
        <v>10883.6</v>
      </c>
      <c r="E178" s="412">
        <f t="shared" si="7"/>
        <v>-932.2399999999998</v>
      </c>
      <c r="F178" s="412">
        <f t="shared" si="9"/>
        <v>-8.56554816421037</v>
      </c>
      <c r="G178" s="404"/>
    </row>
    <row r="179" spans="1:7" s="391" customFormat="1" ht="17.25" customHeight="1">
      <c r="A179" s="413" t="s">
        <v>400</v>
      </c>
      <c r="B179" s="414" t="s">
        <v>401</v>
      </c>
      <c r="C179" s="415">
        <f>SUM('[36]分类汇总表'!BJ440:BJ442)/10</f>
        <v>2537.75</v>
      </c>
      <c r="D179" s="415">
        <v>3389.9</v>
      </c>
      <c r="E179" s="416">
        <f t="shared" si="7"/>
        <v>-852.1500000000001</v>
      </c>
      <c r="F179" s="416">
        <f t="shared" si="9"/>
        <v>-25.137909672851706</v>
      </c>
      <c r="G179" s="404"/>
    </row>
    <row r="180" spans="1:7" s="391" customFormat="1" ht="17.25" customHeight="1">
      <c r="A180" s="413" t="s">
        <v>402</v>
      </c>
      <c r="B180" s="414" t="s">
        <v>403</v>
      </c>
      <c r="C180" s="415">
        <f>SUM('[36]分类汇总表'!BJ443)/10</f>
        <v>413.13</v>
      </c>
      <c r="D180" s="415">
        <v>553.4</v>
      </c>
      <c r="E180" s="416">
        <f t="shared" si="7"/>
        <v>-140.26999999999998</v>
      </c>
      <c r="F180" s="416">
        <f t="shared" si="9"/>
        <v>-25.346946151066135</v>
      </c>
      <c r="G180" s="404"/>
    </row>
    <row r="181" spans="1:7" s="391" customFormat="1" ht="17.25" customHeight="1">
      <c r="A181" s="413" t="s">
        <v>404</v>
      </c>
      <c r="B181" s="414" t="s">
        <v>405</v>
      </c>
      <c r="C181" s="415">
        <f>SUM('[36]分类汇总表'!BJ444:BJ445)/10</f>
        <v>4490.4800000000005</v>
      </c>
      <c r="D181" s="415">
        <v>4430.3</v>
      </c>
      <c r="E181" s="416">
        <f t="shared" si="7"/>
        <v>60.18000000000029</v>
      </c>
      <c r="F181" s="416">
        <f t="shared" si="9"/>
        <v>1.3583730221429704</v>
      </c>
      <c r="G181" s="404"/>
    </row>
    <row r="182" spans="1:7" s="391" customFormat="1" ht="17.25" customHeight="1">
      <c r="A182" s="413">
        <v>2050399</v>
      </c>
      <c r="B182" s="414" t="s">
        <v>406</v>
      </c>
      <c r="C182" s="415">
        <f>SUM('[36]分类汇总表'!BJ446:BJ449)/10</f>
        <v>2510</v>
      </c>
      <c r="D182" s="415">
        <v>2510</v>
      </c>
      <c r="E182" s="416">
        <f t="shared" si="7"/>
        <v>0</v>
      </c>
      <c r="F182" s="416">
        <f t="shared" si="9"/>
        <v>0</v>
      </c>
      <c r="G182" s="404"/>
    </row>
    <row r="183" spans="1:7" s="391" customFormat="1" ht="17.25" customHeight="1">
      <c r="A183" s="409">
        <v>20504</v>
      </c>
      <c r="B183" s="410" t="s">
        <v>407</v>
      </c>
      <c r="C183" s="411">
        <f>SUM('[36]分类汇总表'!BJ452)/10</f>
        <v>36.31</v>
      </c>
      <c r="D183" s="411">
        <v>158</v>
      </c>
      <c r="E183" s="412">
        <f t="shared" si="7"/>
        <v>-121.69</v>
      </c>
      <c r="F183" s="412">
        <f t="shared" si="9"/>
        <v>-77.01898734177215</v>
      </c>
      <c r="G183" s="404"/>
    </row>
    <row r="184" spans="1:7" s="391" customFormat="1" ht="17.25" customHeight="1">
      <c r="A184" s="413" t="s">
        <v>408</v>
      </c>
      <c r="B184" s="414" t="s">
        <v>409</v>
      </c>
      <c r="C184" s="415">
        <f>SUM('[36]分类汇总表'!BJ451)/10</f>
        <v>36.31</v>
      </c>
      <c r="D184" s="415">
        <v>158</v>
      </c>
      <c r="E184" s="416">
        <f t="shared" si="7"/>
        <v>-121.69</v>
      </c>
      <c r="F184" s="416">
        <f t="shared" si="9"/>
        <v>-77.01898734177215</v>
      </c>
      <c r="G184" s="404"/>
    </row>
    <row r="185" spans="1:7" s="391" customFormat="1" ht="17.25" customHeight="1">
      <c r="A185" s="409">
        <v>20505</v>
      </c>
      <c r="B185" s="410" t="s">
        <v>410</v>
      </c>
      <c r="C185" s="411">
        <f>SUM('[36]分类汇总表'!BJ454)/10</f>
        <v>1381.5</v>
      </c>
      <c r="D185" s="411">
        <v>1325.8</v>
      </c>
      <c r="E185" s="412">
        <f t="shared" si="7"/>
        <v>55.700000000000045</v>
      </c>
      <c r="F185" s="412">
        <f t="shared" si="9"/>
        <v>4.201236988987773</v>
      </c>
      <c r="G185" s="404"/>
    </row>
    <row r="186" spans="1:7" s="391" customFormat="1" ht="17.25" customHeight="1">
      <c r="A186" s="413" t="s">
        <v>411</v>
      </c>
      <c r="B186" s="414" t="s">
        <v>412</v>
      </c>
      <c r="C186" s="415">
        <f>SUM('[36]分类汇总表'!BJ453)/10</f>
        <v>1381.5</v>
      </c>
      <c r="D186" s="415">
        <v>1325.8</v>
      </c>
      <c r="E186" s="416">
        <f t="shared" si="7"/>
        <v>55.700000000000045</v>
      </c>
      <c r="F186" s="416">
        <f t="shared" si="9"/>
        <v>4.201236988987773</v>
      </c>
      <c r="G186" s="404"/>
    </row>
    <row r="187" spans="1:7" s="391" customFormat="1" ht="17.25" customHeight="1">
      <c r="A187" s="409">
        <v>20507</v>
      </c>
      <c r="B187" s="410" t="s">
        <v>413</v>
      </c>
      <c r="C187" s="411">
        <f>SUM('[36]分类汇总表'!BJ457)/10</f>
        <v>1230.23</v>
      </c>
      <c r="D187" s="411">
        <v>1323.2</v>
      </c>
      <c r="E187" s="412">
        <f t="shared" si="7"/>
        <v>-92.97000000000003</v>
      </c>
      <c r="F187" s="412">
        <f t="shared" si="9"/>
        <v>-7.02614873035067</v>
      </c>
      <c r="G187" s="404"/>
    </row>
    <row r="188" spans="1:7" s="391" customFormat="1" ht="17.25" customHeight="1">
      <c r="A188" s="413">
        <v>2050701</v>
      </c>
      <c r="B188" s="414" t="s">
        <v>414</v>
      </c>
      <c r="C188" s="415">
        <f>SUM('[36]分类汇总表'!BJ455:BJ456)/10</f>
        <v>1230.23</v>
      </c>
      <c r="D188" s="415">
        <v>1323.2</v>
      </c>
      <c r="E188" s="416">
        <f t="shared" si="7"/>
        <v>-92.97000000000003</v>
      </c>
      <c r="F188" s="416">
        <f t="shared" si="9"/>
        <v>-7.02614873035067</v>
      </c>
      <c r="G188" s="404"/>
    </row>
    <row r="189" spans="1:7" s="391" customFormat="1" ht="17.25" customHeight="1">
      <c r="A189" s="409">
        <v>20508</v>
      </c>
      <c r="B189" s="410" t="s">
        <v>415</v>
      </c>
      <c r="C189" s="411">
        <f>SUM('[36]分类汇总表'!BJ463)/10</f>
        <v>13585.16</v>
      </c>
      <c r="D189" s="411">
        <v>13728.5</v>
      </c>
      <c r="E189" s="412">
        <f t="shared" si="7"/>
        <v>-143.34000000000015</v>
      </c>
      <c r="F189" s="412">
        <f t="shared" si="9"/>
        <v>-1.0441053283315824</v>
      </c>
      <c r="G189" s="404"/>
    </row>
    <row r="190" spans="1:7" s="391" customFormat="1" ht="17.25" customHeight="1">
      <c r="A190" s="413" t="s">
        <v>416</v>
      </c>
      <c r="B190" s="414" t="s">
        <v>417</v>
      </c>
      <c r="C190" s="415">
        <f>SUM('[36]分类汇总表'!BJ458)/10</f>
        <v>1909.6599999999999</v>
      </c>
      <c r="D190" s="415">
        <v>1880.3</v>
      </c>
      <c r="E190" s="416">
        <f t="shared" si="7"/>
        <v>29.3599999999999</v>
      </c>
      <c r="F190" s="416">
        <f t="shared" si="9"/>
        <v>1.5614529596340958</v>
      </c>
      <c r="G190" s="404"/>
    </row>
    <row r="191" spans="1:7" s="391" customFormat="1" ht="17.25" customHeight="1">
      <c r="A191" s="413" t="s">
        <v>418</v>
      </c>
      <c r="B191" s="414" t="s">
        <v>419</v>
      </c>
      <c r="C191" s="415">
        <f>SUM('[36]分类汇总表'!BJ459:BJ461)/10</f>
        <v>1675.5</v>
      </c>
      <c r="D191" s="415">
        <v>1848.2</v>
      </c>
      <c r="E191" s="416">
        <f t="shared" si="7"/>
        <v>-172.70000000000005</v>
      </c>
      <c r="F191" s="416">
        <f t="shared" si="9"/>
        <v>-9.34422681527974</v>
      </c>
      <c r="G191" s="404"/>
    </row>
    <row r="192" spans="1:7" s="391" customFormat="1" ht="17.25" customHeight="1">
      <c r="A192" s="413">
        <v>2050899</v>
      </c>
      <c r="B192" s="414" t="s">
        <v>420</v>
      </c>
      <c r="C192" s="415">
        <f>'[36]分类汇总表'!BJ462/10</f>
        <v>10000</v>
      </c>
      <c r="D192" s="415">
        <v>10000</v>
      </c>
      <c r="E192" s="416">
        <f t="shared" si="7"/>
        <v>0</v>
      </c>
      <c r="F192" s="416">
        <f t="shared" si="9"/>
        <v>0</v>
      </c>
      <c r="G192" s="404"/>
    </row>
    <row r="193" spans="1:7" s="391" customFormat="1" ht="17.25" customHeight="1">
      <c r="A193" s="409">
        <v>20509</v>
      </c>
      <c r="B193" s="410" t="s">
        <v>421</v>
      </c>
      <c r="C193" s="411">
        <f>SUM('[36]分类汇总表'!BJ465)/10</f>
        <v>23000</v>
      </c>
      <c r="D193" s="411">
        <v>22000</v>
      </c>
      <c r="E193" s="412">
        <f t="shared" si="7"/>
        <v>1000</v>
      </c>
      <c r="F193" s="412">
        <f t="shared" si="9"/>
        <v>4.545454545454547</v>
      </c>
      <c r="G193" s="404"/>
    </row>
    <row r="194" spans="1:7" s="391" customFormat="1" ht="17.25" customHeight="1">
      <c r="A194" s="413">
        <v>2050999</v>
      </c>
      <c r="B194" s="414" t="s">
        <v>422</v>
      </c>
      <c r="C194" s="415">
        <f>SUM('[36]分类汇总表'!BJ464)/10</f>
        <v>23000</v>
      </c>
      <c r="D194" s="415">
        <v>22000</v>
      </c>
      <c r="E194" s="416">
        <f t="shared" si="7"/>
        <v>1000</v>
      </c>
      <c r="F194" s="416">
        <f t="shared" si="9"/>
        <v>4.545454545454547</v>
      </c>
      <c r="G194" s="404"/>
    </row>
    <row r="195" spans="1:7" s="391" customFormat="1" ht="17.25" customHeight="1">
      <c r="A195" s="409">
        <v>20599</v>
      </c>
      <c r="B195" s="410" t="s">
        <v>423</v>
      </c>
      <c r="C195" s="411">
        <f>SUM('[36]分类汇总表'!BJ474)/10</f>
        <v>107200</v>
      </c>
      <c r="D195" s="411">
        <v>86984.5</v>
      </c>
      <c r="E195" s="412">
        <f t="shared" si="7"/>
        <v>20215.5</v>
      </c>
      <c r="F195" s="412">
        <f t="shared" si="9"/>
        <v>23.240347418218192</v>
      </c>
      <c r="G195" s="404"/>
    </row>
    <row r="196" spans="1:7" s="391" customFormat="1" ht="17.25" customHeight="1">
      <c r="A196" s="413">
        <v>2059999</v>
      </c>
      <c r="B196" s="414" t="s">
        <v>424</v>
      </c>
      <c r="C196" s="415">
        <f>SUM('[36]分类汇总表'!BJ466:BJ473)/10</f>
        <v>107200</v>
      </c>
      <c r="D196" s="415">
        <v>86984.5</v>
      </c>
      <c r="E196" s="416">
        <f t="shared" si="7"/>
        <v>20215.5</v>
      </c>
      <c r="F196" s="416">
        <f t="shared" si="9"/>
        <v>23.240347418218192</v>
      </c>
      <c r="G196" s="404"/>
    </row>
    <row r="197" spans="1:7" s="391" customFormat="1" ht="17.25" customHeight="1">
      <c r="A197" s="405">
        <v>206</v>
      </c>
      <c r="B197" s="405" t="s">
        <v>425</v>
      </c>
      <c r="C197" s="406">
        <f>SUM('[36]分类汇总表'!BJ509)/10</f>
        <v>33389.979999999996</v>
      </c>
      <c r="D197" s="406">
        <v>32559.1</v>
      </c>
      <c r="E197" s="407">
        <f aca="true" t="shared" si="10" ref="E197:E260">C197-D197</f>
        <v>830.8799999999974</v>
      </c>
      <c r="F197" s="407">
        <f t="shared" si="9"/>
        <v>2.5519132899865156</v>
      </c>
      <c r="G197" s="408"/>
    </row>
    <row r="198" spans="1:7" s="391" customFormat="1" ht="17.25" customHeight="1">
      <c r="A198" s="409">
        <v>20601</v>
      </c>
      <c r="B198" s="410" t="s">
        <v>426</v>
      </c>
      <c r="C198" s="411">
        <f>SUM('[36]分类汇总表'!BJ484)/10</f>
        <v>849.0600000000001</v>
      </c>
      <c r="D198" s="411">
        <v>624.3</v>
      </c>
      <c r="E198" s="412">
        <f t="shared" si="10"/>
        <v>224.7600000000001</v>
      </c>
      <c r="F198" s="412">
        <f t="shared" si="9"/>
        <v>36.001922152811176</v>
      </c>
      <c r="G198" s="404"/>
    </row>
    <row r="199" spans="1:7" s="391" customFormat="1" ht="17.25" customHeight="1">
      <c r="A199" s="413" t="s">
        <v>427</v>
      </c>
      <c r="B199" s="414" t="s">
        <v>428</v>
      </c>
      <c r="C199" s="415">
        <f>SUM('[36]分类汇总表'!BJ476:BJ477)/10</f>
        <v>416.98</v>
      </c>
      <c r="D199" s="415">
        <v>458.9</v>
      </c>
      <c r="E199" s="416">
        <f t="shared" si="10"/>
        <v>-41.91999999999996</v>
      </c>
      <c r="F199" s="416">
        <f t="shared" si="9"/>
        <v>-9.134887775114393</v>
      </c>
      <c r="G199" s="404"/>
    </row>
    <row r="200" spans="1:7" s="391" customFormat="1" ht="17.25" customHeight="1">
      <c r="A200" s="413">
        <v>2060102</v>
      </c>
      <c r="B200" s="414" t="s">
        <v>429</v>
      </c>
      <c r="C200" s="415">
        <f>SUM('[36]分类汇总表'!BJ478)/10</f>
        <v>275</v>
      </c>
      <c r="D200" s="415"/>
      <c r="E200" s="416">
        <f t="shared" si="10"/>
        <v>275</v>
      </c>
      <c r="F200" s="416"/>
      <c r="G200" s="404"/>
    </row>
    <row r="201" spans="1:7" s="391" customFormat="1" ht="17.25" customHeight="1">
      <c r="A201" s="413" t="s">
        <v>430</v>
      </c>
      <c r="B201" s="414" t="s">
        <v>431</v>
      </c>
      <c r="C201" s="415">
        <f>SUM('[36]分类汇总表'!BJ479:BJ483)/10</f>
        <v>157.08</v>
      </c>
      <c r="D201" s="415">
        <v>165.4</v>
      </c>
      <c r="E201" s="416">
        <f t="shared" si="10"/>
        <v>-8.319999999999993</v>
      </c>
      <c r="F201" s="416">
        <f aca="true" t="shared" si="11" ref="F201:F229">C201/D201*100-100</f>
        <v>-5.03022974607012</v>
      </c>
      <c r="G201" s="404"/>
    </row>
    <row r="202" spans="1:7" s="391" customFormat="1" ht="17.25" customHeight="1">
      <c r="A202" s="409">
        <v>20603</v>
      </c>
      <c r="B202" s="410" t="s">
        <v>432</v>
      </c>
      <c r="C202" s="411">
        <f>SUM('[36]分类汇总表'!BJ486)/10</f>
        <v>50</v>
      </c>
      <c r="D202" s="411">
        <v>50</v>
      </c>
      <c r="E202" s="416">
        <f t="shared" si="10"/>
        <v>0</v>
      </c>
      <c r="F202" s="416">
        <f t="shared" si="11"/>
        <v>0</v>
      </c>
      <c r="G202" s="404"/>
    </row>
    <row r="203" spans="1:7" s="391" customFormat="1" ht="17.25" customHeight="1">
      <c r="A203" s="413">
        <v>2060302</v>
      </c>
      <c r="B203" s="414" t="s">
        <v>433</v>
      </c>
      <c r="C203" s="415">
        <f>SUM('[36]分类汇总表'!BJ485)/10</f>
        <v>50</v>
      </c>
      <c r="D203" s="415">
        <v>50</v>
      </c>
      <c r="E203" s="416">
        <f t="shared" si="10"/>
        <v>0</v>
      </c>
      <c r="F203" s="416">
        <f t="shared" si="11"/>
        <v>0</v>
      </c>
      <c r="G203" s="404"/>
    </row>
    <row r="204" spans="1:7" s="391" customFormat="1" ht="17.25" customHeight="1">
      <c r="A204" s="409">
        <v>20604</v>
      </c>
      <c r="B204" s="410" t="s">
        <v>434</v>
      </c>
      <c r="C204" s="411">
        <f>SUM('[36]分类汇总表'!BJ488)/10</f>
        <v>1275.78</v>
      </c>
      <c r="D204" s="411">
        <v>1626.7</v>
      </c>
      <c r="E204" s="412">
        <f t="shared" si="10"/>
        <v>-350.9200000000001</v>
      </c>
      <c r="F204" s="412">
        <f t="shared" si="11"/>
        <v>-21.5725087600664</v>
      </c>
      <c r="G204" s="404"/>
    </row>
    <row r="205" spans="1:7" s="391" customFormat="1" ht="17.25" customHeight="1">
      <c r="A205" s="413" t="s">
        <v>435</v>
      </c>
      <c r="B205" s="414" t="s">
        <v>436</v>
      </c>
      <c r="C205" s="415">
        <f>SUM('[36]分类汇总表'!BJ487)/10</f>
        <v>1275.78</v>
      </c>
      <c r="D205" s="415">
        <v>1626.7</v>
      </c>
      <c r="E205" s="416">
        <f t="shared" si="10"/>
        <v>-350.9200000000001</v>
      </c>
      <c r="F205" s="416">
        <f t="shared" si="11"/>
        <v>-21.5725087600664</v>
      </c>
      <c r="G205" s="404"/>
    </row>
    <row r="206" spans="1:7" s="391" customFormat="1" ht="17.25" customHeight="1">
      <c r="A206" s="409">
        <v>20605</v>
      </c>
      <c r="B206" s="410" t="s">
        <v>437</v>
      </c>
      <c r="C206" s="411">
        <f>SUM('[36]分类汇总表'!BJ490)/10</f>
        <v>281.21999999999997</v>
      </c>
      <c r="D206" s="411">
        <v>350.4</v>
      </c>
      <c r="E206" s="412">
        <f t="shared" si="10"/>
        <v>-69.18</v>
      </c>
      <c r="F206" s="412">
        <f t="shared" si="11"/>
        <v>-19.743150684931507</v>
      </c>
      <c r="G206" s="404"/>
    </row>
    <row r="207" spans="1:7" s="391" customFormat="1" ht="17.25" customHeight="1">
      <c r="A207" s="413" t="s">
        <v>438</v>
      </c>
      <c r="B207" s="414" t="s">
        <v>439</v>
      </c>
      <c r="C207" s="415">
        <f>SUM('[36]分类汇总表'!BJ489)/10</f>
        <v>281.21999999999997</v>
      </c>
      <c r="D207" s="415">
        <v>350.4</v>
      </c>
      <c r="E207" s="416">
        <f t="shared" si="10"/>
        <v>-69.18</v>
      </c>
      <c r="F207" s="416">
        <f t="shared" si="11"/>
        <v>-19.743150684931507</v>
      </c>
      <c r="G207" s="404"/>
    </row>
    <row r="208" spans="1:7" s="391" customFormat="1" ht="17.25" customHeight="1">
      <c r="A208" s="409">
        <v>20606</v>
      </c>
      <c r="B208" s="410" t="s">
        <v>440</v>
      </c>
      <c r="C208" s="411">
        <f>SUM('[36]分类汇总表'!BJ493)/10</f>
        <v>383.46999999999997</v>
      </c>
      <c r="D208" s="411">
        <v>375.9</v>
      </c>
      <c r="E208" s="412">
        <f t="shared" si="10"/>
        <v>7.569999999999993</v>
      </c>
      <c r="F208" s="412">
        <f t="shared" si="11"/>
        <v>2.013833466347421</v>
      </c>
      <c r="G208" s="404"/>
    </row>
    <row r="209" spans="1:7" s="391" customFormat="1" ht="17.25" customHeight="1">
      <c r="A209" s="413" t="s">
        <v>441</v>
      </c>
      <c r="B209" s="414" t="s">
        <v>442</v>
      </c>
      <c r="C209" s="415">
        <f>SUM('[36]分类汇总表'!BJ491)/10</f>
        <v>244.96999999999997</v>
      </c>
      <c r="D209" s="415">
        <v>253.6</v>
      </c>
      <c r="E209" s="416">
        <f t="shared" si="10"/>
        <v>-8.630000000000024</v>
      </c>
      <c r="F209" s="416">
        <f t="shared" si="11"/>
        <v>-3.402996845425875</v>
      </c>
      <c r="G209" s="404"/>
    </row>
    <row r="210" spans="1:7" s="391" customFormat="1" ht="17.25" customHeight="1">
      <c r="A210" s="413" t="s">
        <v>443</v>
      </c>
      <c r="B210" s="414" t="s">
        <v>444</v>
      </c>
      <c r="C210" s="415">
        <f>SUM('[36]分类汇总表'!BJ492)/10</f>
        <v>138.5</v>
      </c>
      <c r="D210" s="415">
        <v>122.3</v>
      </c>
      <c r="E210" s="416">
        <f t="shared" si="10"/>
        <v>16.200000000000003</v>
      </c>
      <c r="F210" s="416">
        <f t="shared" si="11"/>
        <v>13.246116107931314</v>
      </c>
      <c r="G210" s="404"/>
    </row>
    <row r="211" spans="1:7" s="391" customFormat="1" ht="17.25" customHeight="1">
      <c r="A211" s="409">
        <v>20607</v>
      </c>
      <c r="B211" s="410" t="s">
        <v>445</v>
      </c>
      <c r="C211" s="411">
        <f>SUM('[36]分类汇总表'!BJ502)/10</f>
        <v>718.65</v>
      </c>
      <c r="D211" s="411">
        <v>700.1</v>
      </c>
      <c r="E211" s="412">
        <f t="shared" si="10"/>
        <v>18.549999999999955</v>
      </c>
      <c r="F211" s="412">
        <f t="shared" si="11"/>
        <v>2.6496214826453297</v>
      </c>
      <c r="G211" s="404"/>
    </row>
    <row r="212" spans="1:7" s="391" customFormat="1" ht="17.25" customHeight="1">
      <c r="A212" s="413" t="s">
        <v>446</v>
      </c>
      <c r="B212" s="414" t="s">
        <v>447</v>
      </c>
      <c r="C212" s="415">
        <f>SUM('[36]分类汇总表'!BJ494:BJ495)/10</f>
        <v>115.14000000000001</v>
      </c>
      <c r="D212" s="415">
        <v>145.7</v>
      </c>
      <c r="E212" s="416">
        <f t="shared" si="10"/>
        <v>-30.559999999999974</v>
      </c>
      <c r="F212" s="416">
        <f t="shared" si="11"/>
        <v>-20.974605353466018</v>
      </c>
      <c r="G212" s="404"/>
    </row>
    <row r="213" spans="1:7" s="391" customFormat="1" ht="17.25" customHeight="1">
      <c r="A213" s="413" t="s">
        <v>448</v>
      </c>
      <c r="B213" s="414" t="s">
        <v>449</v>
      </c>
      <c r="C213" s="415">
        <f>SUM('[36]分类汇总表'!BJ496)/10</f>
        <v>27.29</v>
      </c>
      <c r="D213" s="415">
        <v>33.2</v>
      </c>
      <c r="E213" s="416">
        <f t="shared" si="10"/>
        <v>-5.910000000000004</v>
      </c>
      <c r="F213" s="416">
        <f t="shared" si="11"/>
        <v>-17.801204819277118</v>
      </c>
      <c r="G213" s="404"/>
    </row>
    <row r="214" spans="1:7" s="391" customFormat="1" ht="17.25" customHeight="1">
      <c r="A214" s="413" t="s">
        <v>450</v>
      </c>
      <c r="B214" s="414" t="s">
        <v>451</v>
      </c>
      <c r="C214" s="415">
        <f>SUM('[36]分类汇总表'!BJ497:BJ501)/10</f>
        <v>576.22</v>
      </c>
      <c r="D214" s="415">
        <v>521.2</v>
      </c>
      <c r="E214" s="416">
        <f t="shared" si="10"/>
        <v>55.01999999999998</v>
      </c>
      <c r="F214" s="416">
        <f t="shared" si="11"/>
        <v>10.556408288564853</v>
      </c>
      <c r="G214" s="404"/>
    </row>
    <row r="215" spans="1:7" s="391" customFormat="1" ht="17.25" customHeight="1">
      <c r="A215" s="409">
        <v>20699</v>
      </c>
      <c r="B215" s="410" t="s">
        <v>452</v>
      </c>
      <c r="C215" s="411">
        <f>SUM('[36]分类汇总表'!BJ509)/10</f>
        <v>33389.979999999996</v>
      </c>
      <c r="D215" s="411">
        <v>28831.8</v>
      </c>
      <c r="E215" s="412">
        <f t="shared" si="10"/>
        <v>4558.179999999997</v>
      </c>
      <c r="F215" s="412">
        <f t="shared" si="11"/>
        <v>15.809557502479905</v>
      </c>
      <c r="G215" s="404"/>
    </row>
    <row r="216" spans="1:7" s="391" customFormat="1" ht="17.25" customHeight="1">
      <c r="A216" s="413" t="s">
        <v>453</v>
      </c>
      <c r="B216" s="414" t="s">
        <v>454</v>
      </c>
      <c r="C216" s="415">
        <f>SUM('[36]分类汇总表'!BJ503)/10</f>
        <v>31.8</v>
      </c>
      <c r="D216" s="415">
        <v>31.8</v>
      </c>
      <c r="E216" s="416">
        <f t="shared" si="10"/>
        <v>0</v>
      </c>
      <c r="F216" s="416">
        <f t="shared" si="11"/>
        <v>0</v>
      </c>
      <c r="G216" s="404"/>
    </row>
    <row r="217" spans="1:7" s="391" customFormat="1" ht="17.25" customHeight="1">
      <c r="A217" s="413">
        <v>2069999</v>
      </c>
      <c r="B217" s="414" t="s">
        <v>455</v>
      </c>
      <c r="C217" s="415">
        <f>SUM('[36]分类汇总表'!BJ504:BJ507)/10</f>
        <v>29800</v>
      </c>
      <c r="D217" s="415">
        <v>28800</v>
      </c>
      <c r="E217" s="416">
        <f t="shared" si="10"/>
        <v>1000</v>
      </c>
      <c r="F217" s="416">
        <f t="shared" si="11"/>
        <v>3.4722222222222285</v>
      </c>
      <c r="G217" s="404"/>
    </row>
    <row r="218" spans="1:7" s="391" customFormat="1" ht="17.25" customHeight="1">
      <c r="A218" s="405">
        <v>207</v>
      </c>
      <c r="B218" s="405" t="s">
        <v>456</v>
      </c>
      <c r="C218" s="406">
        <f>SUM('[36]分类汇总表'!BJ563)/10</f>
        <v>33428.020000000004</v>
      </c>
      <c r="D218" s="406">
        <v>30225.5</v>
      </c>
      <c r="E218" s="407">
        <f t="shared" si="10"/>
        <v>3202.520000000004</v>
      </c>
      <c r="F218" s="407">
        <f t="shared" si="11"/>
        <v>10.595424393310296</v>
      </c>
      <c r="G218" s="408"/>
    </row>
    <row r="219" spans="1:7" s="391" customFormat="1" ht="17.25" customHeight="1">
      <c r="A219" s="409">
        <v>20701</v>
      </c>
      <c r="B219" s="410" t="s">
        <v>457</v>
      </c>
      <c r="C219" s="411">
        <f>SUM('[36]分类汇总表'!BJ534)/10</f>
        <v>12780.380000000001</v>
      </c>
      <c r="D219" s="411">
        <v>9490.1</v>
      </c>
      <c r="E219" s="412">
        <f t="shared" si="10"/>
        <v>3290.2800000000007</v>
      </c>
      <c r="F219" s="412">
        <f t="shared" si="11"/>
        <v>34.67065678970718</v>
      </c>
      <c r="G219" s="404"/>
    </row>
    <row r="220" spans="1:7" s="391" customFormat="1" ht="17.25" customHeight="1">
      <c r="A220" s="413" t="s">
        <v>458</v>
      </c>
      <c r="B220" s="414" t="s">
        <v>459</v>
      </c>
      <c r="C220" s="415">
        <f>SUM('[36]分类汇总表'!BJ510:BJ512)/10</f>
        <v>793.8999999999999</v>
      </c>
      <c r="D220" s="415">
        <v>949.2</v>
      </c>
      <c r="E220" s="416">
        <f t="shared" si="10"/>
        <v>-155.30000000000018</v>
      </c>
      <c r="F220" s="416">
        <f t="shared" si="11"/>
        <v>-16.361146228402873</v>
      </c>
      <c r="G220" s="404"/>
    </row>
    <row r="221" spans="1:7" s="391" customFormat="1" ht="17.25" customHeight="1">
      <c r="A221" s="413" t="s">
        <v>460</v>
      </c>
      <c r="B221" s="414" t="s">
        <v>461</v>
      </c>
      <c r="C221" s="415">
        <f>SUM('[36]分类汇总表'!BJ513)/10</f>
        <v>408.96999999999997</v>
      </c>
      <c r="D221" s="415">
        <v>341.5</v>
      </c>
      <c r="E221" s="416">
        <f t="shared" si="10"/>
        <v>67.46999999999997</v>
      </c>
      <c r="F221" s="416">
        <f t="shared" si="11"/>
        <v>19.756954612005842</v>
      </c>
      <c r="G221" s="404"/>
    </row>
    <row r="222" spans="1:7" s="391" customFormat="1" ht="17.25" customHeight="1">
      <c r="A222" s="413" t="s">
        <v>462</v>
      </c>
      <c r="B222" s="414" t="s">
        <v>463</v>
      </c>
      <c r="C222" s="415">
        <f>SUM('[36]分类汇总表'!BJ514)/10</f>
        <v>702.8399999999999</v>
      </c>
      <c r="D222" s="415">
        <v>919.1</v>
      </c>
      <c r="E222" s="416">
        <f t="shared" si="10"/>
        <v>-216.2600000000001</v>
      </c>
      <c r="F222" s="416">
        <f t="shared" si="11"/>
        <v>-23.52953976716354</v>
      </c>
      <c r="G222" s="404"/>
    </row>
    <row r="223" spans="1:7" s="391" customFormat="1" ht="17.25" customHeight="1">
      <c r="A223" s="413" t="s">
        <v>464</v>
      </c>
      <c r="B223" s="414" t="s">
        <v>465</v>
      </c>
      <c r="C223" s="415">
        <f>SUM('[36]分类汇总表'!BJ515)/10</f>
        <v>317.2</v>
      </c>
      <c r="D223" s="415">
        <v>286</v>
      </c>
      <c r="E223" s="416">
        <f t="shared" si="10"/>
        <v>31.19999999999999</v>
      </c>
      <c r="F223" s="416">
        <f t="shared" si="11"/>
        <v>10.909090909090907</v>
      </c>
      <c r="G223" s="404"/>
    </row>
    <row r="224" spans="1:7" s="391" customFormat="1" ht="17.25" customHeight="1">
      <c r="A224" s="413">
        <v>2070107</v>
      </c>
      <c r="B224" s="414" t="s">
        <v>466</v>
      </c>
      <c r="C224" s="415">
        <f>SUM('[36]分类汇总表'!BJ516:BJ520)/10</f>
        <v>1601.27</v>
      </c>
      <c r="D224" s="415">
        <v>2012</v>
      </c>
      <c r="E224" s="416">
        <f t="shared" si="10"/>
        <v>-410.73</v>
      </c>
      <c r="F224" s="416">
        <f t="shared" si="11"/>
        <v>-20.414015904572565</v>
      </c>
      <c r="G224" s="404"/>
    </row>
    <row r="225" spans="1:7" s="391" customFormat="1" ht="17.25" customHeight="1">
      <c r="A225" s="413" t="s">
        <v>467</v>
      </c>
      <c r="B225" s="414" t="s">
        <v>468</v>
      </c>
      <c r="C225" s="415">
        <f>SUM('[36]分类汇总表'!BJ521:BJ523)/10</f>
        <v>2452.8900000000003</v>
      </c>
      <c r="D225" s="415">
        <v>1804.9</v>
      </c>
      <c r="E225" s="416">
        <f t="shared" si="10"/>
        <v>647.9900000000002</v>
      </c>
      <c r="F225" s="416">
        <f t="shared" si="11"/>
        <v>35.901712006205344</v>
      </c>
      <c r="G225" s="404"/>
    </row>
    <row r="226" spans="1:7" s="391" customFormat="1" ht="17.25" customHeight="1">
      <c r="A226" s="413" t="s">
        <v>469</v>
      </c>
      <c r="B226" s="414" t="s">
        <v>470</v>
      </c>
      <c r="C226" s="415">
        <f>SUM('[36]分类汇总表'!BJ524:BJ525)/10</f>
        <v>716.23</v>
      </c>
      <c r="D226" s="415">
        <v>938.1</v>
      </c>
      <c r="E226" s="416">
        <f t="shared" si="10"/>
        <v>-221.87</v>
      </c>
      <c r="F226" s="416">
        <f t="shared" si="11"/>
        <v>-23.650996695448242</v>
      </c>
      <c r="G226" s="404"/>
    </row>
    <row r="227" spans="1:7" s="391" customFormat="1" ht="17.25" customHeight="1">
      <c r="A227" s="413" t="s">
        <v>471</v>
      </c>
      <c r="B227" s="414" t="s">
        <v>472</v>
      </c>
      <c r="C227" s="415">
        <f>SUM('[36]分类汇总表'!BJ526)/10</f>
        <v>133.64000000000001</v>
      </c>
      <c r="D227" s="415">
        <v>133.6</v>
      </c>
      <c r="E227" s="416">
        <f t="shared" si="10"/>
        <v>0.040000000000020464</v>
      </c>
      <c r="F227" s="416">
        <f t="shared" si="11"/>
        <v>0.029940119760496486</v>
      </c>
      <c r="G227" s="404"/>
    </row>
    <row r="228" spans="1:7" s="391" customFormat="1" ht="17.25" customHeight="1">
      <c r="A228" s="413" t="s">
        <v>473</v>
      </c>
      <c r="B228" s="414" t="s">
        <v>474</v>
      </c>
      <c r="C228" s="415">
        <f>SUM('[36]分类汇总表'!BJ527:BJ533)/10</f>
        <v>5653.4400000000005</v>
      </c>
      <c r="D228" s="415">
        <v>2105.9</v>
      </c>
      <c r="E228" s="416">
        <f t="shared" si="10"/>
        <v>3547.5400000000004</v>
      </c>
      <c r="F228" s="416">
        <f t="shared" si="11"/>
        <v>168.45719169951093</v>
      </c>
      <c r="G228" s="404"/>
    </row>
    <row r="229" spans="1:7" s="391" customFormat="1" ht="17.25" customHeight="1">
      <c r="A229" s="409">
        <v>20702</v>
      </c>
      <c r="B229" s="410" t="s">
        <v>475</v>
      </c>
      <c r="C229" s="411">
        <f>SUM('[36]分类汇总表'!BJ543)/10</f>
        <v>2116.23</v>
      </c>
      <c r="D229" s="411">
        <v>2093</v>
      </c>
      <c r="E229" s="412">
        <f t="shared" si="10"/>
        <v>23.230000000000018</v>
      </c>
      <c r="F229" s="412">
        <f t="shared" si="11"/>
        <v>1.1098901098901166</v>
      </c>
      <c r="G229" s="404"/>
    </row>
    <row r="230" spans="1:7" s="391" customFormat="1" ht="17.25" customHeight="1">
      <c r="A230" s="413">
        <v>2070201</v>
      </c>
      <c r="B230" s="414" t="s">
        <v>476</v>
      </c>
      <c r="C230" s="415">
        <f>SUM('[36]分类汇总表'!BJ535)/10</f>
        <v>111.02000000000001</v>
      </c>
      <c r="D230" s="411"/>
      <c r="E230" s="416">
        <f t="shared" si="10"/>
        <v>111.02000000000001</v>
      </c>
      <c r="F230" s="416"/>
      <c r="G230" s="404"/>
    </row>
    <row r="231" spans="1:7" s="391" customFormat="1" ht="17.25" customHeight="1">
      <c r="A231" s="413">
        <v>2070202</v>
      </c>
      <c r="B231" s="414" t="s">
        <v>477</v>
      </c>
      <c r="C231" s="415">
        <f>SUM('[36]分类汇总表'!BJ536)/10</f>
        <v>40.5</v>
      </c>
      <c r="D231" s="411"/>
      <c r="E231" s="416">
        <f t="shared" si="10"/>
        <v>40.5</v>
      </c>
      <c r="F231" s="416"/>
      <c r="G231" s="404"/>
    </row>
    <row r="232" spans="1:7" s="391" customFormat="1" ht="17.25" customHeight="1">
      <c r="A232" s="413" t="s">
        <v>478</v>
      </c>
      <c r="B232" s="414" t="s">
        <v>479</v>
      </c>
      <c r="C232" s="415">
        <f>SUM('[36]分类汇总表'!BJ537:BJ542)/10</f>
        <v>1964.7099999999998</v>
      </c>
      <c r="D232" s="415">
        <v>2093</v>
      </c>
      <c r="E232" s="416">
        <f t="shared" si="10"/>
        <v>-128.2900000000002</v>
      </c>
      <c r="F232" s="416">
        <f aca="true" t="shared" si="12" ref="F232:F240">C232/D232*100-100</f>
        <v>-6.1294792164357546</v>
      </c>
      <c r="G232" s="404"/>
    </row>
    <row r="233" spans="1:7" s="391" customFormat="1" ht="17.25" customHeight="1">
      <c r="A233" s="409">
        <v>20703</v>
      </c>
      <c r="B233" s="410" t="s">
        <v>480</v>
      </c>
      <c r="C233" s="411">
        <f>SUM('[36]分类汇总表'!BJ554)/10</f>
        <v>6553.4400000000005</v>
      </c>
      <c r="D233" s="411">
        <v>6342.6</v>
      </c>
      <c r="E233" s="412">
        <f t="shared" si="10"/>
        <v>210.84000000000015</v>
      </c>
      <c r="F233" s="412">
        <f t="shared" si="12"/>
        <v>3.3241888184656148</v>
      </c>
      <c r="G233" s="404"/>
    </row>
    <row r="234" spans="1:7" s="391" customFormat="1" ht="17.25" customHeight="1">
      <c r="A234" s="413" t="s">
        <v>481</v>
      </c>
      <c r="B234" s="414" t="s">
        <v>482</v>
      </c>
      <c r="C234" s="415">
        <f>SUM('[36]分类汇总表'!BJ544)/10</f>
        <v>213.39000000000001</v>
      </c>
      <c r="D234" s="415">
        <v>261.6</v>
      </c>
      <c r="E234" s="416">
        <f t="shared" si="10"/>
        <v>-48.21000000000001</v>
      </c>
      <c r="F234" s="416">
        <f t="shared" si="12"/>
        <v>-18.428899082568805</v>
      </c>
      <c r="G234" s="404"/>
    </row>
    <row r="235" spans="1:7" s="391" customFormat="1" ht="17.25" customHeight="1">
      <c r="A235" s="413" t="s">
        <v>483</v>
      </c>
      <c r="B235" s="414" t="s">
        <v>484</v>
      </c>
      <c r="C235" s="415">
        <f>SUM('[36]分类汇总表'!BJ545)/10</f>
        <v>329</v>
      </c>
      <c r="D235" s="415">
        <v>251</v>
      </c>
      <c r="E235" s="416">
        <f t="shared" si="10"/>
        <v>78</v>
      </c>
      <c r="F235" s="416">
        <f t="shared" si="12"/>
        <v>31.075697211155386</v>
      </c>
      <c r="G235" s="404"/>
    </row>
    <row r="236" spans="1:7" s="391" customFormat="1" ht="17.25" customHeight="1">
      <c r="A236" s="413" t="s">
        <v>485</v>
      </c>
      <c r="B236" s="414" t="s">
        <v>486</v>
      </c>
      <c r="C236" s="415">
        <f>SUM('[36]分类汇总表'!BJ546:BJ548)/10</f>
        <v>2230.95</v>
      </c>
      <c r="D236" s="415">
        <v>2218.4</v>
      </c>
      <c r="E236" s="416">
        <f t="shared" si="10"/>
        <v>12.549999999999727</v>
      </c>
      <c r="F236" s="416">
        <f t="shared" si="12"/>
        <v>0.565723043635046</v>
      </c>
      <c r="G236" s="404"/>
    </row>
    <row r="237" spans="1:7" s="391" customFormat="1" ht="17.25" customHeight="1">
      <c r="A237" s="413">
        <v>2070305</v>
      </c>
      <c r="B237" s="414" t="s">
        <v>487</v>
      </c>
      <c r="C237" s="415">
        <f>SUM('[36]分类汇总表'!BJ549)/10</f>
        <v>2100</v>
      </c>
      <c r="D237" s="415">
        <v>1700</v>
      </c>
      <c r="E237" s="416">
        <f t="shared" si="10"/>
        <v>400</v>
      </c>
      <c r="F237" s="416">
        <f t="shared" si="12"/>
        <v>23.529411764705884</v>
      </c>
      <c r="G237" s="404"/>
    </row>
    <row r="238" spans="1:7" s="391" customFormat="1" ht="17.25" customHeight="1">
      <c r="A238" s="413" t="s">
        <v>488</v>
      </c>
      <c r="B238" s="414" t="s">
        <v>489</v>
      </c>
      <c r="C238" s="415">
        <f>SUM('[36]分类汇总表'!BJ550:BJ552)/10</f>
        <v>1577.7</v>
      </c>
      <c r="D238" s="415">
        <v>1813.6</v>
      </c>
      <c r="E238" s="416">
        <f t="shared" si="10"/>
        <v>-235.89999999999986</v>
      </c>
      <c r="F238" s="416">
        <f t="shared" si="12"/>
        <v>-13.007278341420374</v>
      </c>
      <c r="G238" s="404"/>
    </row>
    <row r="239" spans="1:7" s="391" customFormat="1" ht="17.25" customHeight="1">
      <c r="A239" s="413" t="s">
        <v>490</v>
      </c>
      <c r="B239" s="414" t="s">
        <v>491</v>
      </c>
      <c r="C239" s="415">
        <f>SUM('[36]分类汇总表'!BJ553)/10</f>
        <v>102.4</v>
      </c>
      <c r="D239" s="415">
        <v>97.9</v>
      </c>
      <c r="E239" s="416">
        <f t="shared" si="10"/>
        <v>4.5</v>
      </c>
      <c r="F239" s="416">
        <f t="shared" si="12"/>
        <v>4.596527068437183</v>
      </c>
      <c r="G239" s="404"/>
    </row>
    <row r="240" spans="1:7" s="391" customFormat="1" ht="17.25" customHeight="1">
      <c r="A240" s="409">
        <v>20704</v>
      </c>
      <c r="B240" s="410" t="s">
        <v>492</v>
      </c>
      <c r="C240" s="411">
        <f>SUM('[36]分类汇总表'!BJ557)/10</f>
        <v>1067.97</v>
      </c>
      <c r="D240" s="411">
        <v>1389.9</v>
      </c>
      <c r="E240" s="412">
        <f t="shared" si="10"/>
        <v>-321.93000000000006</v>
      </c>
      <c r="F240" s="412">
        <f t="shared" si="12"/>
        <v>-23.162097992661344</v>
      </c>
      <c r="G240" s="404"/>
    </row>
    <row r="241" spans="1:7" s="391" customFormat="1" ht="17.25" customHeight="1">
      <c r="A241" s="413" t="s">
        <v>493</v>
      </c>
      <c r="B241" s="414" t="s">
        <v>494</v>
      </c>
      <c r="C241" s="415"/>
      <c r="D241" s="415"/>
      <c r="E241" s="416">
        <f t="shared" si="10"/>
        <v>0</v>
      </c>
      <c r="F241" s="416"/>
      <c r="G241" s="420"/>
    </row>
    <row r="242" spans="1:7" s="391" customFormat="1" ht="17.25" customHeight="1">
      <c r="A242" s="413" t="s">
        <v>495</v>
      </c>
      <c r="B242" s="414" t="s">
        <v>496</v>
      </c>
      <c r="C242" s="415"/>
      <c r="D242" s="415"/>
      <c r="E242" s="416">
        <f t="shared" si="10"/>
        <v>0</v>
      </c>
      <c r="F242" s="416"/>
      <c r="G242" s="421"/>
    </row>
    <row r="243" spans="1:7" s="391" customFormat="1" ht="17.25" customHeight="1">
      <c r="A243" s="413" t="s">
        <v>497</v>
      </c>
      <c r="B243" s="414" t="s">
        <v>498</v>
      </c>
      <c r="C243" s="415">
        <f>SUM('[36]分类汇总表'!BJ555)/10</f>
        <v>191.04000000000002</v>
      </c>
      <c r="D243" s="415">
        <v>236</v>
      </c>
      <c r="E243" s="416">
        <f t="shared" si="10"/>
        <v>-44.95999999999998</v>
      </c>
      <c r="F243" s="416">
        <f aca="true" t="shared" si="13" ref="F243:F261">C243/D243*100-100</f>
        <v>-19.0508474576271</v>
      </c>
      <c r="G243" s="404"/>
    </row>
    <row r="244" spans="1:7" s="391" customFormat="1" ht="17.25" customHeight="1">
      <c r="A244" s="413" t="s">
        <v>499</v>
      </c>
      <c r="B244" s="414" t="s">
        <v>500</v>
      </c>
      <c r="C244" s="415">
        <f>SUM('[36]分类汇总表'!BJ556)/10</f>
        <v>876.93</v>
      </c>
      <c r="D244" s="415">
        <v>1153.9</v>
      </c>
      <c r="E244" s="416">
        <f t="shared" si="10"/>
        <v>-276.97000000000014</v>
      </c>
      <c r="F244" s="416">
        <f t="shared" si="13"/>
        <v>-24.00294652916199</v>
      </c>
      <c r="G244" s="404"/>
    </row>
    <row r="245" spans="1:7" s="391" customFormat="1" ht="17.25" customHeight="1">
      <c r="A245" s="409">
        <v>20799</v>
      </c>
      <c r="B245" s="410" t="s">
        <v>501</v>
      </c>
      <c r="C245" s="411">
        <f>SUM('[36]分类汇总表'!BJ562)/10</f>
        <v>10910</v>
      </c>
      <c r="D245" s="411">
        <v>10910</v>
      </c>
      <c r="E245" s="416">
        <f t="shared" si="10"/>
        <v>0</v>
      </c>
      <c r="F245" s="416">
        <f t="shared" si="13"/>
        <v>0</v>
      </c>
      <c r="G245" s="404"/>
    </row>
    <row r="246" spans="1:7" s="391" customFormat="1" ht="17.25" customHeight="1">
      <c r="A246" s="413">
        <v>2079999</v>
      </c>
      <c r="B246" s="414" t="s">
        <v>502</v>
      </c>
      <c r="C246" s="415">
        <f>SUM('[36]分类汇总表'!BJ558:BJ561)/10</f>
        <v>10910</v>
      </c>
      <c r="D246" s="415">
        <v>10910</v>
      </c>
      <c r="E246" s="416">
        <f t="shared" si="10"/>
        <v>0</v>
      </c>
      <c r="F246" s="416">
        <f t="shared" si="13"/>
        <v>0</v>
      </c>
      <c r="G246" s="404"/>
    </row>
    <row r="247" spans="1:7" s="391" customFormat="1" ht="17.25" customHeight="1">
      <c r="A247" s="405">
        <v>208</v>
      </c>
      <c r="B247" s="405" t="s">
        <v>503</v>
      </c>
      <c r="C247" s="406">
        <f>SUM('[36]分类汇总表'!BJ1611)/10</f>
        <v>189582.13</v>
      </c>
      <c r="D247" s="406">
        <v>156278.8</v>
      </c>
      <c r="E247" s="407">
        <f t="shared" si="10"/>
        <v>33303.330000000016</v>
      </c>
      <c r="F247" s="407">
        <f t="shared" si="13"/>
        <v>21.310203303327143</v>
      </c>
      <c r="G247" s="408"/>
    </row>
    <row r="248" spans="1:7" s="391" customFormat="1" ht="17.25" customHeight="1">
      <c r="A248" s="409">
        <v>20801</v>
      </c>
      <c r="B248" s="410" t="s">
        <v>504</v>
      </c>
      <c r="C248" s="411">
        <f>SUM('[36]分类汇总表'!BJ577)/10</f>
        <v>4017.28</v>
      </c>
      <c r="D248" s="411">
        <v>3904.4</v>
      </c>
      <c r="E248" s="412">
        <f t="shared" si="10"/>
        <v>112.88000000000011</v>
      </c>
      <c r="F248" s="412">
        <f t="shared" si="13"/>
        <v>2.8910972236451187</v>
      </c>
      <c r="G248" s="404"/>
    </row>
    <row r="249" spans="1:7" s="391" customFormat="1" ht="17.25" customHeight="1">
      <c r="A249" s="413" t="s">
        <v>505</v>
      </c>
      <c r="B249" s="414" t="s">
        <v>506</v>
      </c>
      <c r="C249" s="415">
        <f>SUM('[36]分类汇总表'!BJ564:BJ565)/10</f>
        <v>700.0699999999999</v>
      </c>
      <c r="D249" s="415">
        <v>763.6</v>
      </c>
      <c r="E249" s="416">
        <f t="shared" si="10"/>
        <v>-63.530000000000086</v>
      </c>
      <c r="F249" s="416">
        <f t="shared" si="13"/>
        <v>-8.319800942902049</v>
      </c>
      <c r="G249" s="404"/>
    </row>
    <row r="250" spans="1:7" s="391" customFormat="1" ht="17.25" customHeight="1">
      <c r="A250" s="413" t="s">
        <v>507</v>
      </c>
      <c r="B250" s="414" t="s">
        <v>508</v>
      </c>
      <c r="C250" s="415">
        <f>SUM('[36]分类汇总表'!BJ566)/10</f>
        <v>967</v>
      </c>
      <c r="D250" s="415">
        <v>967</v>
      </c>
      <c r="E250" s="416">
        <f t="shared" si="10"/>
        <v>0</v>
      </c>
      <c r="F250" s="416">
        <f t="shared" si="13"/>
        <v>0</v>
      </c>
      <c r="G250" s="404"/>
    </row>
    <row r="251" spans="1:7" s="391" customFormat="1" ht="17.25" customHeight="1">
      <c r="A251" s="413" t="s">
        <v>509</v>
      </c>
      <c r="B251" s="414" t="s">
        <v>510</v>
      </c>
      <c r="C251" s="415">
        <f>SUM('[36]分类汇总表'!BJ567)/10</f>
        <v>15.430000000000001</v>
      </c>
      <c r="D251" s="415">
        <v>17.5</v>
      </c>
      <c r="E251" s="416">
        <f t="shared" si="10"/>
        <v>-2.0699999999999985</v>
      </c>
      <c r="F251" s="416">
        <f t="shared" si="13"/>
        <v>-11.828571428571422</v>
      </c>
      <c r="G251" s="404"/>
    </row>
    <row r="252" spans="1:7" s="391" customFormat="1" ht="17.25" customHeight="1">
      <c r="A252" s="413" t="s">
        <v>511</v>
      </c>
      <c r="B252" s="414" t="s">
        <v>512</v>
      </c>
      <c r="C252" s="415">
        <f>SUM('[36]分类汇总表'!BJ568)/10</f>
        <v>206.75</v>
      </c>
      <c r="D252" s="415">
        <v>244.3</v>
      </c>
      <c r="E252" s="416">
        <f t="shared" si="10"/>
        <v>-37.55000000000001</v>
      </c>
      <c r="F252" s="416">
        <f t="shared" si="13"/>
        <v>-15.37044617273844</v>
      </c>
      <c r="G252" s="404"/>
    </row>
    <row r="253" spans="1:7" s="391" customFormat="1" ht="17.25" customHeight="1">
      <c r="A253" s="413" t="s">
        <v>513</v>
      </c>
      <c r="B253" s="414" t="s">
        <v>514</v>
      </c>
      <c r="C253" s="415">
        <f>SUM('[36]分类汇总表'!BJ569:BJ571)/10</f>
        <v>848.8100000000001</v>
      </c>
      <c r="D253" s="415">
        <v>957.4</v>
      </c>
      <c r="E253" s="416">
        <f t="shared" si="10"/>
        <v>-108.58999999999992</v>
      </c>
      <c r="F253" s="416">
        <f t="shared" si="13"/>
        <v>-11.34217672864007</v>
      </c>
      <c r="G253" s="404"/>
    </row>
    <row r="254" spans="1:7" s="391" customFormat="1" ht="17.25" customHeight="1">
      <c r="A254" s="413" t="s">
        <v>515</v>
      </c>
      <c r="B254" s="414" t="s">
        <v>516</v>
      </c>
      <c r="C254" s="415">
        <f>SUM('[36]分类汇总表'!BJ572:BJ574)/10</f>
        <v>793.8799999999999</v>
      </c>
      <c r="D254" s="415">
        <v>448.4</v>
      </c>
      <c r="E254" s="416">
        <f t="shared" si="10"/>
        <v>345.4799999999999</v>
      </c>
      <c r="F254" s="416">
        <f t="shared" si="13"/>
        <v>77.04727921498659</v>
      </c>
      <c r="G254" s="404"/>
    </row>
    <row r="255" spans="1:7" s="391" customFormat="1" ht="17.25" customHeight="1">
      <c r="A255" s="413" t="s">
        <v>517</v>
      </c>
      <c r="B255" s="414" t="s">
        <v>518</v>
      </c>
      <c r="C255" s="415">
        <f>SUM('[36]分类汇总表'!BJ575)/10</f>
        <v>55</v>
      </c>
      <c r="D255" s="415">
        <v>55</v>
      </c>
      <c r="E255" s="416">
        <f t="shared" si="10"/>
        <v>0</v>
      </c>
      <c r="F255" s="416">
        <f t="shared" si="13"/>
        <v>0</v>
      </c>
      <c r="G255" s="404"/>
    </row>
    <row r="256" spans="1:7" s="391" customFormat="1" ht="17.25" customHeight="1">
      <c r="A256" s="413" t="s">
        <v>519</v>
      </c>
      <c r="B256" s="414" t="s">
        <v>520</v>
      </c>
      <c r="C256" s="415">
        <f>SUM('[36]分类汇总表'!BJ576)/10</f>
        <v>430.34</v>
      </c>
      <c r="D256" s="415">
        <v>451.3</v>
      </c>
      <c r="E256" s="416">
        <f t="shared" si="10"/>
        <v>-20.960000000000036</v>
      </c>
      <c r="F256" s="416">
        <f t="shared" si="13"/>
        <v>-4.644360735652569</v>
      </c>
      <c r="G256" s="404"/>
    </row>
    <row r="257" spans="1:7" s="391" customFormat="1" ht="17.25" customHeight="1">
      <c r="A257" s="409">
        <v>20802</v>
      </c>
      <c r="B257" s="410" t="s">
        <v>521</v>
      </c>
      <c r="C257" s="411">
        <f>SUM('[36]分类汇总表'!BJ589)/10</f>
        <v>2279</v>
      </c>
      <c r="D257" s="411">
        <v>1995.9</v>
      </c>
      <c r="E257" s="412">
        <f t="shared" si="10"/>
        <v>283.0999999999999</v>
      </c>
      <c r="F257" s="412">
        <f t="shared" si="13"/>
        <v>14.184077358585085</v>
      </c>
      <c r="G257" s="404"/>
    </row>
    <row r="258" spans="1:7" s="391" customFormat="1" ht="17.25" customHeight="1">
      <c r="A258" s="413" t="s">
        <v>522</v>
      </c>
      <c r="B258" s="414" t="s">
        <v>523</v>
      </c>
      <c r="C258" s="415">
        <f>SUM('[36]分类汇总表'!BJ578:BJ579)/10</f>
        <v>585.58</v>
      </c>
      <c r="D258" s="415">
        <v>729.2</v>
      </c>
      <c r="E258" s="416">
        <f t="shared" si="10"/>
        <v>-143.62</v>
      </c>
      <c r="F258" s="416">
        <f t="shared" si="13"/>
        <v>-19.695556774547455</v>
      </c>
      <c r="G258" s="404"/>
    </row>
    <row r="259" spans="1:7" s="391" customFormat="1" ht="17.25" customHeight="1">
      <c r="A259" s="413" t="s">
        <v>524</v>
      </c>
      <c r="B259" s="414" t="s">
        <v>525</v>
      </c>
      <c r="C259" s="415">
        <f>SUM('[36]分类汇总表'!BJ580)/10</f>
        <v>469.03000000000003</v>
      </c>
      <c r="D259" s="415">
        <v>445.9</v>
      </c>
      <c r="E259" s="416">
        <f t="shared" si="10"/>
        <v>23.130000000000052</v>
      </c>
      <c r="F259" s="416">
        <f t="shared" si="13"/>
        <v>5.18726171787398</v>
      </c>
      <c r="G259" s="404"/>
    </row>
    <row r="260" spans="1:7" s="391" customFormat="1" ht="17.25" customHeight="1">
      <c r="A260" s="413">
        <v>2080204</v>
      </c>
      <c r="B260" s="414" t="s">
        <v>526</v>
      </c>
      <c r="C260" s="415">
        <f>'[36]分类汇总表'!BJ581/10</f>
        <v>500</v>
      </c>
      <c r="D260" s="415">
        <v>400</v>
      </c>
      <c r="E260" s="416">
        <f t="shared" si="10"/>
        <v>100</v>
      </c>
      <c r="F260" s="416">
        <f t="shared" si="13"/>
        <v>25</v>
      </c>
      <c r="G260" s="404"/>
    </row>
    <row r="261" spans="1:7" s="391" customFormat="1" ht="17.25" customHeight="1">
      <c r="A261" s="413" t="s">
        <v>527</v>
      </c>
      <c r="B261" s="414" t="s">
        <v>528</v>
      </c>
      <c r="C261" s="415">
        <f>SUM('[36]分类汇总表'!BJ582:BJ583)/10</f>
        <v>150.24</v>
      </c>
      <c r="D261" s="415">
        <v>82.5</v>
      </c>
      <c r="E261" s="416">
        <f aca="true" t="shared" si="14" ref="E261:E324">C261-D261</f>
        <v>67.74000000000001</v>
      </c>
      <c r="F261" s="416">
        <f t="shared" si="13"/>
        <v>82.10909090909092</v>
      </c>
      <c r="G261" s="404"/>
    </row>
    <row r="262" spans="1:7" s="391" customFormat="1" ht="17.25" customHeight="1">
      <c r="A262" s="413">
        <v>2080206</v>
      </c>
      <c r="B262" s="414" t="s">
        <v>529</v>
      </c>
      <c r="C262" s="415">
        <f>SUM('[36]分类汇总表'!BJ584)/10</f>
        <v>30</v>
      </c>
      <c r="D262" s="415"/>
      <c r="E262" s="416">
        <f t="shared" si="14"/>
        <v>30</v>
      </c>
      <c r="F262" s="416"/>
      <c r="G262" s="404"/>
    </row>
    <row r="263" spans="1:7" s="391" customFormat="1" ht="17.25" customHeight="1">
      <c r="A263" s="413" t="s">
        <v>530</v>
      </c>
      <c r="B263" s="414" t="s">
        <v>531</v>
      </c>
      <c r="C263" s="415">
        <f>SUM('[36]分类汇总表'!BJ585)/10</f>
        <v>15.040000000000001</v>
      </c>
      <c r="D263" s="415">
        <v>16.2</v>
      </c>
      <c r="E263" s="416">
        <f t="shared" si="14"/>
        <v>-1.1599999999999984</v>
      </c>
      <c r="F263" s="416">
        <f aca="true" t="shared" si="15" ref="F263:F271">C263/D263*100-100</f>
        <v>-7.160493827160479</v>
      </c>
      <c r="G263" s="404"/>
    </row>
    <row r="264" spans="1:7" s="391" customFormat="1" ht="17.25" customHeight="1">
      <c r="A264" s="413" t="s">
        <v>532</v>
      </c>
      <c r="B264" s="414" t="s">
        <v>533</v>
      </c>
      <c r="C264" s="415">
        <f>SUM('[36]分类汇总表'!BJ586)/10</f>
        <v>155.2</v>
      </c>
      <c r="D264" s="415">
        <v>180.5</v>
      </c>
      <c r="E264" s="416">
        <f t="shared" si="14"/>
        <v>-25.30000000000001</v>
      </c>
      <c r="F264" s="416">
        <f t="shared" si="15"/>
        <v>-14.01662049861497</v>
      </c>
      <c r="G264" s="404"/>
    </row>
    <row r="265" spans="1:7" s="391" customFormat="1" ht="17.25" customHeight="1">
      <c r="A265" s="413" t="s">
        <v>534</v>
      </c>
      <c r="B265" s="414" t="s">
        <v>535</v>
      </c>
      <c r="C265" s="415">
        <f>SUM('[36]分类汇总表'!BJ587:BJ588)/10</f>
        <v>373.90999999999997</v>
      </c>
      <c r="D265" s="415">
        <v>141.7</v>
      </c>
      <c r="E265" s="416">
        <f t="shared" si="14"/>
        <v>232.20999999999998</v>
      </c>
      <c r="F265" s="416">
        <f t="shared" si="15"/>
        <v>163.87438249823572</v>
      </c>
      <c r="G265" s="404"/>
    </row>
    <row r="266" spans="1:7" s="391" customFormat="1" ht="17.25" customHeight="1">
      <c r="A266" s="409">
        <v>20803</v>
      </c>
      <c r="B266" s="410" t="s">
        <v>536</v>
      </c>
      <c r="C266" s="411">
        <f>SUM('[36]分类汇总表'!BJ592)/10</f>
        <v>85413</v>
      </c>
      <c r="D266" s="411">
        <v>85413</v>
      </c>
      <c r="E266" s="412">
        <f t="shared" si="14"/>
        <v>0</v>
      </c>
      <c r="F266" s="412">
        <f t="shared" si="15"/>
        <v>0</v>
      </c>
      <c r="G266" s="404"/>
    </row>
    <row r="267" spans="1:7" s="391" customFormat="1" ht="17.25" customHeight="1">
      <c r="A267" s="413">
        <v>2080301</v>
      </c>
      <c r="B267" s="414" t="s">
        <v>537</v>
      </c>
      <c r="C267" s="415">
        <f>SUM('[36]分类汇总表'!BJ590)/10</f>
        <v>77404</v>
      </c>
      <c r="D267" s="415">
        <v>77404</v>
      </c>
      <c r="E267" s="416">
        <f t="shared" si="14"/>
        <v>0</v>
      </c>
      <c r="F267" s="416">
        <f t="shared" si="15"/>
        <v>0</v>
      </c>
      <c r="G267" s="404"/>
    </row>
    <row r="268" spans="1:7" s="391" customFormat="1" ht="17.25" customHeight="1">
      <c r="A268" s="413" t="s">
        <v>538</v>
      </c>
      <c r="B268" s="414" t="s">
        <v>539</v>
      </c>
      <c r="C268" s="415">
        <f>SUM('[36]分类汇总表'!BJ591)/10</f>
        <v>8009</v>
      </c>
      <c r="D268" s="415">
        <v>8009</v>
      </c>
      <c r="E268" s="416">
        <f t="shared" si="14"/>
        <v>0</v>
      </c>
      <c r="F268" s="416">
        <f t="shared" si="15"/>
        <v>0</v>
      </c>
      <c r="G268" s="404"/>
    </row>
    <row r="269" spans="1:7" s="391" customFormat="1" ht="17.25" customHeight="1">
      <c r="A269" s="409">
        <v>20805</v>
      </c>
      <c r="B269" s="409" t="s">
        <v>540</v>
      </c>
      <c r="C269" s="411">
        <f>SUM('[36]分类汇总表'!BJ1551)/10</f>
        <v>34840.95</v>
      </c>
      <c r="D269" s="411">
        <v>2937.1</v>
      </c>
      <c r="E269" s="412">
        <f t="shared" si="14"/>
        <v>31903.85</v>
      </c>
      <c r="F269" s="412">
        <f t="shared" si="15"/>
        <v>1086.236423683225</v>
      </c>
      <c r="G269" s="404"/>
    </row>
    <row r="270" spans="1:7" s="391" customFormat="1" ht="17.25" customHeight="1">
      <c r="A270" s="413" t="s">
        <v>541</v>
      </c>
      <c r="B270" s="414" t="s">
        <v>542</v>
      </c>
      <c r="C270" s="415">
        <f>SUM('[36]分类汇总表'!BJ593:BJ598)/10</f>
        <v>2199.99</v>
      </c>
      <c r="D270" s="415">
        <v>1944.5</v>
      </c>
      <c r="E270" s="416">
        <f t="shared" si="14"/>
        <v>255.48999999999978</v>
      </c>
      <c r="F270" s="416">
        <f t="shared" si="15"/>
        <v>13.139110311133948</v>
      </c>
      <c r="G270" s="404"/>
    </row>
    <row r="271" spans="1:7" s="391" customFormat="1" ht="17.25" customHeight="1">
      <c r="A271" s="413" t="s">
        <v>543</v>
      </c>
      <c r="B271" s="414" t="s">
        <v>544</v>
      </c>
      <c r="C271" s="415">
        <f>SUM('[36]分类汇总表'!BJ599:BJ730)/10</f>
        <v>1343.62</v>
      </c>
      <c r="D271" s="415">
        <v>992.6</v>
      </c>
      <c r="E271" s="416">
        <f t="shared" si="14"/>
        <v>351.01999999999987</v>
      </c>
      <c r="F271" s="416">
        <f t="shared" si="15"/>
        <v>35.363691315736446</v>
      </c>
      <c r="G271" s="404"/>
    </row>
    <row r="272" spans="1:7" s="391" customFormat="1" ht="17.25" customHeight="1">
      <c r="A272" s="413">
        <v>2080505</v>
      </c>
      <c r="B272" s="414" t="s">
        <v>545</v>
      </c>
      <c r="C272" s="415">
        <f>SUM('[36]分类汇总表'!BJ731:BJ1143)/10</f>
        <v>23482.94000000003</v>
      </c>
      <c r="D272" s="415"/>
      <c r="E272" s="416">
        <f t="shared" si="14"/>
        <v>23482.94000000003</v>
      </c>
      <c r="F272" s="416"/>
      <c r="G272" s="404"/>
    </row>
    <row r="273" spans="1:7" s="391" customFormat="1" ht="17.25" customHeight="1">
      <c r="A273" s="413">
        <v>2080506</v>
      </c>
      <c r="B273" s="414" t="s">
        <v>546</v>
      </c>
      <c r="C273" s="415">
        <f>SUM('[36]分类汇总表'!BJ1144:BJ1550)/10</f>
        <v>7814.4000000000015</v>
      </c>
      <c r="D273" s="415"/>
      <c r="E273" s="416">
        <f t="shared" si="14"/>
        <v>7814.4000000000015</v>
      </c>
      <c r="F273" s="416"/>
      <c r="G273" s="404"/>
    </row>
    <row r="274" spans="1:7" s="391" customFormat="1" ht="17.25" customHeight="1">
      <c r="A274" s="409">
        <v>20806</v>
      </c>
      <c r="B274" s="410" t="s">
        <v>547</v>
      </c>
      <c r="C274" s="411">
        <f>SUM('[36]分类汇总表'!BJ1553)/10</f>
        <v>2100</v>
      </c>
      <c r="D274" s="411">
        <v>2500</v>
      </c>
      <c r="E274" s="412">
        <f t="shared" si="14"/>
        <v>-400</v>
      </c>
      <c r="F274" s="412">
        <f aca="true" t="shared" si="16" ref="F274:F319">C274/D274*100-100</f>
        <v>-16</v>
      </c>
      <c r="G274" s="404"/>
    </row>
    <row r="275" spans="1:7" s="391" customFormat="1" ht="17.25" customHeight="1">
      <c r="A275" s="413">
        <v>2080699</v>
      </c>
      <c r="B275" s="414" t="s">
        <v>548</v>
      </c>
      <c r="C275" s="415">
        <f>SUM('[36]分类汇总表'!BJ1552)/10</f>
        <v>2100</v>
      </c>
      <c r="D275" s="415">
        <v>2500</v>
      </c>
      <c r="E275" s="416">
        <f t="shared" si="14"/>
        <v>-400</v>
      </c>
      <c r="F275" s="416">
        <f t="shared" si="16"/>
        <v>-16</v>
      </c>
      <c r="G275" s="404"/>
    </row>
    <row r="276" spans="1:7" s="391" customFormat="1" ht="17.25" customHeight="1">
      <c r="A276" s="409">
        <v>20807</v>
      </c>
      <c r="B276" s="410" t="s">
        <v>549</v>
      </c>
      <c r="C276" s="411">
        <f>SUM('[36]分类汇总表'!BJ1557)/10</f>
        <v>7743</v>
      </c>
      <c r="D276" s="411">
        <v>7743</v>
      </c>
      <c r="E276" s="416">
        <f t="shared" si="14"/>
        <v>0</v>
      </c>
      <c r="F276" s="416">
        <f t="shared" si="16"/>
        <v>0</v>
      </c>
      <c r="G276" s="404"/>
    </row>
    <row r="277" spans="1:7" s="391" customFormat="1" ht="17.25" customHeight="1">
      <c r="A277" s="413">
        <v>2080702</v>
      </c>
      <c r="B277" s="414" t="s">
        <v>550</v>
      </c>
      <c r="C277" s="415">
        <f>'[36]分类汇总表'!BJ1554/10</f>
        <v>800</v>
      </c>
      <c r="D277" s="415">
        <v>600</v>
      </c>
      <c r="E277" s="416">
        <f t="shared" si="14"/>
        <v>200</v>
      </c>
      <c r="F277" s="416">
        <f t="shared" si="16"/>
        <v>33.333333333333314</v>
      </c>
      <c r="G277" s="404"/>
    </row>
    <row r="278" spans="1:7" s="391" customFormat="1" ht="17.25" customHeight="1">
      <c r="A278" s="413">
        <v>2080799</v>
      </c>
      <c r="B278" s="414" t="s">
        <v>551</v>
      </c>
      <c r="C278" s="415">
        <f>SUM('[36]分类汇总表'!BJ1555:BJ1556)/10</f>
        <v>6943</v>
      </c>
      <c r="D278" s="415">
        <v>7143</v>
      </c>
      <c r="E278" s="416">
        <f t="shared" si="14"/>
        <v>-200</v>
      </c>
      <c r="F278" s="416">
        <f t="shared" si="16"/>
        <v>-2.7999440011199823</v>
      </c>
      <c r="G278" s="404"/>
    </row>
    <row r="279" spans="1:7" s="391" customFormat="1" ht="17.25" customHeight="1">
      <c r="A279" s="409">
        <v>20808</v>
      </c>
      <c r="B279" s="410" t="s">
        <v>552</v>
      </c>
      <c r="C279" s="411">
        <f>'[36]分类汇总表'!BJ1564/10</f>
        <v>5771.62</v>
      </c>
      <c r="D279" s="411">
        <v>5669.1</v>
      </c>
      <c r="E279" s="412">
        <f t="shared" si="14"/>
        <v>102.51999999999953</v>
      </c>
      <c r="F279" s="412">
        <f t="shared" si="16"/>
        <v>1.8083999223862577</v>
      </c>
      <c r="G279" s="404"/>
    </row>
    <row r="280" spans="1:7" s="391" customFormat="1" ht="17.25" customHeight="1">
      <c r="A280" s="413">
        <v>2080801</v>
      </c>
      <c r="B280" s="414" t="s">
        <v>553</v>
      </c>
      <c r="C280" s="415">
        <f>SUM('[36]分类汇总表'!BJ1558)/10</f>
        <v>2600</v>
      </c>
      <c r="D280" s="415">
        <v>2600</v>
      </c>
      <c r="E280" s="416">
        <f t="shared" si="14"/>
        <v>0</v>
      </c>
      <c r="F280" s="416">
        <f t="shared" si="16"/>
        <v>0</v>
      </c>
      <c r="G280" s="404"/>
    </row>
    <row r="281" spans="1:7" s="391" customFormat="1" ht="17.25" customHeight="1">
      <c r="A281" s="413" t="s">
        <v>554</v>
      </c>
      <c r="B281" s="414" t="s">
        <v>555</v>
      </c>
      <c r="C281" s="415">
        <f>SUM('[36]分类汇总表'!BJ1559:BJ1560)/10</f>
        <v>867.6199999999999</v>
      </c>
      <c r="D281" s="415">
        <v>715.1</v>
      </c>
      <c r="E281" s="416">
        <f t="shared" si="14"/>
        <v>152.51999999999987</v>
      </c>
      <c r="F281" s="416">
        <f t="shared" si="16"/>
        <v>21.328485526499776</v>
      </c>
      <c r="G281" s="404"/>
    </row>
    <row r="282" spans="1:7" s="391" customFormat="1" ht="17.25" customHeight="1">
      <c r="A282" s="413">
        <v>2080899</v>
      </c>
      <c r="B282" s="414" t="s">
        <v>556</v>
      </c>
      <c r="C282" s="415">
        <f>SUM('[36]分类汇总表'!BJ1561:BJ1563)/10</f>
        <v>2304</v>
      </c>
      <c r="D282" s="415">
        <v>2354</v>
      </c>
      <c r="E282" s="416">
        <f t="shared" si="14"/>
        <v>-50</v>
      </c>
      <c r="F282" s="416">
        <f t="shared" si="16"/>
        <v>-2.1240441801189434</v>
      </c>
      <c r="G282" s="404"/>
    </row>
    <row r="283" spans="1:7" s="391" customFormat="1" ht="17.25" customHeight="1">
      <c r="A283" s="409">
        <v>20809</v>
      </c>
      <c r="B283" s="410" t="s">
        <v>557</v>
      </c>
      <c r="C283" s="411">
        <f>SUM('[36]分类汇总表'!BJ1570)/10</f>
        <v>7179.969999999999</v>
      </c>
      <c r="D283" s="411">
        <v>7338.2</v>
      </c>
      <c r="E283" s="412">
        <f t="shared" si="14"/>
        <v>-158.23000000000047</v>
      </c>
      <c r="F283" s="412">
        <f t="shared" si="16"/>
        <v>-2.1562508517075116</v>
      </c>
      <c r="G283" s="404"/>
    </row>
    <row r="284" spans="1:7" s="391" customFormat="1" ht="17.25" customHeight="1">
      <c r="A284" s="413">
        <v>2080901</v>
      </c>
      <c r="B284" s="414" t="s">
        <v>558</v>
      </c>
      <c r="C284" s="415">
        <f>SUM('[36]分类汇总表'!BJ1565)/10</f>
        <v>190</v>
      </c>
      <c r="D284" s="415">
        <v>400</v>
      </c>
      <c r="E284" s="416">
        <f t="shared" si="14"/>
        <v>-210</v>
      </c>
      <c r="F284" s="416">
        <f t="shared" si="16"/>
        <v>-52.5</v>
      </c>
      <c r="G284" s="404"/>
    </row>
    <row r="285" spans="1:7" s="391" customFormat="1" ht="17.25" customHeight="1">
      <c r="A285" s="413">
        <v>2080902</v>
      </c>
      <c r="B285" s="414" t="s">
        <v>559</v>
      </c>
      <c r="C285" s="415">
        <f>SUM('[36]分类汇总表'!BJ1566)/10</f>
        <v>6448</v>
      </c>
      <c r="D285" s="415">
        <v>6448</v>
      </c>
      <c r="E285" s="416">
        <f t="shared" si="14"/>
        <v>0</v>
      </c>
      <c r="F285" s="416">
        <f t="shared" si="16"/>
        <v>0</v>
      </c>
      <c r="G285" s="404"/>
    </row>
    <row r="286" spans="1:7" s="391" customFormat="1" ht="17.25" customHeight="1">
      <c r="A286" s="413" t="s">
        <v>560</v>
      </c>
      <c r="B286" s="414" t="s">
        <v>561</v>
      </c>
      <c r="C286" s="415">
        <f>SUM('[36]分类汇总表'!BJ1567:BJ1568)/10</f>
        <v>401.96999999999997</v>
      </c>
      <c r="D286" s="415">
        <v>350.2</v>
      </c>
      <c r="E286" s="416">
        <f t="shared" si="14"/>
        <v>51.76999999999998</v>
      </c>
      <c r="F286" s="416">
        <f t="shared" si="16"/>
        <v>14.78298115362648</v>
      </c>
      <c r="G286" s="404"/>
    </row>
    <row r="287" spans="1:7" s="391" customFormat="1" ht="17.25" customHeight="1">
      <c r="A287" s="413">
        <v>2080999</v>
      </c>
      <c r="B287" s="414" t="s">
        <v>562</v>
      </c>
      <c r="C287" s="415">
        <f>SUM('[36]分类汇总表'!BJ1569)/10</f>
        <v>140</v>
      </c>
      <c r="D287" s="415">
        <v>140</v>
      </c>
      <c r="E287" s="416">
        <f t="shared" si="14"/>
        <v>0</v>
      </c>
      <c r="F287" s="416">
        <f t="shared" si="16"/>
        <v>0</v>
      </c>
      <c r="G287" s="404"/>
    </row>
    <row r="288" spans="1:7" s="391" customFormat="1" ht="17.25" customHeight="1">
      <c r="A288" s="409">
        <v>20810</v>
      </c>
      <c r="B288" s="410" t="s">
        <v>563</v>
      </c>
      <c r="C288" s="411">
        <f>SUM('[36]分类汇总表'!BJ1578)/10</f>
        <v>2129.42</v>
      </c>
      <c r="D288" s="411">
        <v>2332.2</v>
      </c>
      <c r="E288" s="412">
        <f t="shared" si="14"/>
        <v>-202.77999999999975</v>
      </c>
      <c r="F288" s="412">
        <f t="shared" si="16"/>
        <v>-8.69479461452704</v>
      </c>
      <c r="G288" s="404"/>
    </row>
    <row r="289" spans="1:7" s="391" customFormat="1" ht="17.25" customHeight="1">
      <c r="A289" s="413" t="s">
        <v>564</v>
      </c>
      <c r="B289" s="414" t="s">
        <v>565</v>
      </c>
      <c r="C289" s="415">
        <f>SUM('[36]分类汇总表'!BJ1577)/10</f>
        <v>179</v>
      </c>
      <c r="D289" s="415">
        <v>179</v>
      </c>
      <c r="E289" s="416">
        <f t="shared" si="14"/>
        <v>0</v>
      </c>
      <c r="F289" s="416">
        <f t="shared" si="16"/>
        <v>0</v>
      </c>
      <c r="G289" s="404"/>
    </row>
    <row r="290" spans="1:7" s="391" customFormat="1" ht="17.25" customHeight="1">
      <c r="A290" s="413" t="s">
        <v>566</v>
      </c>
      <c r="B290" s="414" t="s">
        <v>567</v>
      </c>
      <c r="C290" s="415">
        <f>SUM('[36]分类汇总表'!BJ1574)/10</f>
        <v>76</v>
      </c>
      <c r="D290" s="415">
        <v>76</v>
      </c>
      <c r="E290" s="416">
        <f t="shared" si="14"/>
        <v>0</v>
      </c>
      <c r="F290" s="416">
        <f t="shared" si="16"/>
        <v>0</v>
      </c>
      <c r="G290" s="404"/>
    </row>
    <row r="291" spans="1:7" s="391" customFormat="1" ht="17.25" customHeight="1">
      <c r="A291" s="413" t="s">
        <v>568</v>
      </c>
      <c r="B291" s="414" t="s">
        <v>569</v>
      </c>
      <c r="C291" s="415">
        <f>SUM('[36]分类汇总表'!BJ1571:BJ1573)/10+'[36]分类汇总表'!BJ1575/10</f>
        <v>1805.42</v>
      </c>
      <c r="D291" s="415">
        <v>2008.2</v>
      </c>
      <c r="E291" s="416">
        <f t="shared" si="14"/>
        <v>-202.77999999999997</v>
      </c>
      <c r="F291" s="416">
        <f t="shared" si="16"/>
        <v>-10.097599840653317</v>
      </c>
      <c r="G291" s="404"/>
    </row>
    <row r="292" spans="1:7" s="391" customFormat="1" ht="17.25" customHeight="1">
      <c r="A292" s="413">
        <v>2081099</v>
      </c>
      <c r="B292" s="414" t="s">
        <v>570</v>
      </c>
      <c r="C292" s="415">
        <f>SUM('[36]分类汇总表'!BJ1576)/10</f>
        <v>69</v>
      </c>
      <c r="D292" s="415">
        <v>69</v>
      </c>
      <c r="E292" s="416">
        <f t="shared" si="14"/>
        <v>0</v>
      </c>
      <c r="F292" s="416">
        <f t="shared" si="16"/>
        <v>0</v>
      </c>
      <c r="G292" s="404"/>
    </row>
    <row r="293" spans="1:7" s="391" customFormat="1" ht="17.25" customHeight="1">
      <c r="A293" s="409">
        <v>20811</v>
      </c>
      <c r="B293" s="410" t="s">
        <v>571</v>
      </c>
      <c r="C293" s="411">
        <f>SUM('[36]分类汇总表'!BJ1585)/10</f>
        <v>8594.34</v>
      </c>
      <c r="D293" s="411">
        <v>9120.5</v>
      </c>
      <c r="E293" s="412">
        <f t="shared" si="14"/>
        <v>-526.1599999999999</v>
      </c>
      <c r="F293" s="412">
        <f t="shared" si="16"/>
        <v>-5.7689819637081285</v>
      </c>
      <c r="G293" s="404"/>
    </row>
    <row r="294" spans="1:7" s="391" customFormat="1" ht="17.25" customHeight="1">
      <c r="A294" s="413" t="s">
        <v>572</v>
      </c>
      <c r="B294" s="414" t="s">
        <v>573</v>
      </c>
      <c r="C294" s="415">
        <f>SUM('[36]分类汇总表'!BJ1579)/10</f>
        <v>206.29000000000002</v>
      </c>
      <c r="D294" s="415">
        <v>255.4</v>
      </c>
      <c r="E294" s="416">
        <f t="shared" si="14"/>
        <v>-49.109999999999985</v>
      </c>
      <c r="F294" s="416">
        <f t="shared" si="16"/>
        <v>-19.228660924040724</v>
      </c>
      <c r="G294" s="404"/>
    </row>
    <row r="295" spans="1:7" s="391" customFormat="1" ht="17.25" customHeight="1">
      <c r="A295" s="413" t="s">
        <v>574</v>
      </c>
      <c r="B295" s="414" t="s">
        <v>575</v>
      </c>
      <c r="C295" s="415">
        <f>SUM('[36]分类汇总表'!BJ1580)/10</f>
        <v>127.2</v>
      </c>
      <c r="D295" s="415">
        <v>107.9</v>
      </c>
      <c r="E295" s="416">
        <f t="shared" si="14"/>
        <v>19.299999999999997</v>
      </c>
      <c r="F295" s="416">
        <f t="shared" si="16"/>
        <v>17.886932344763665</v>
      </c>
      <c r="G295" s="404"/>
    </row>
    <row r="296" spans="1:7" s="391" customFormat="1" ht="17.25" customHeight="1">
      <c r="A296" s="413">
        <v>2081199</v>
      </c>
      <c r="B296" s="414" t="s">
        <v>576</v>
      </c>
      <c r="C296" s="415">
        <f>SUM('[36]分类汇总表'!BJ1581:BJ1584)/10</f>
        <v>8260.85</v>
      </c>
      <c r="D296" s="415">
        <v>8757.2</v>
      </c>
      <c r="E296" s="416">
        <f t="shared" si="14"/>
        <v>-496.35000000000036</v>
      </c>
      <c r="F296" s="416">
        <f t="shared" si="16"/>
        <v>-5.667907550358564</v>
      </c>
      <c r="G296" s="404"/>
    </row>
    <row r="297" spans="1:7" s="391" customFormat="1" ht="17.25" customHeight="1">
      <c r="A297" s="409">
        <v>20815</v>
      </c>
      <c r="B297" s="410" t="s">
        <v>577</v>
      </c>
      <c r="C297" s="411">
        <f>SUM('[36]分类汇总表'!BJ1587)/10</f>
        <v>3000</v>
      </c>
      <c r="D297" s="411">
        <v>2500</v>
      </c>
      <c r="E297" s="412">
        <f t="shared" si="14"/>
        <v>500</v>
      </c>
      <c r="F297" s="412">
        <f t="shared" si="16"/>
        <v>20</v>
      </c>
      <c r="G297" s="404"/>
    </row>
    <row r="298" spans="1:7" s="391" customFormat="1" ht="17.25" customHeight="1">
      <c r="A298" s="413">
        <v>2081502</v>
      </c>
      <c r="B298" s="414" t="s">
        <v>578</v>
      </c>
      <c r="C298" s="415">
        <f>SUM('[36]分类汇总表'!BJ1586)/10</f>
        <v>3000</v>
      </c>
      <c r="D298" s="415">
        <v>2500</v>
      </c>
      <c r="E298" s="416">
        <f t="shared" si="14"/>
        <v>500</v>
      </c>
      <c r="F298" s="416">
        <f t="shared" si="16"/>
        <v>20</v>
      </c>
      <c r="G298" s="404"/>
    </row>
    <row r="299" spans="1:7" s="391" customFormat="1" ht="17.25" customHeight="1">
      <c r="A299" s="409">
        <v>20816</v>
      </c>
      <c r="B299" s="410" t="s">
        <v>579</v>
      </c>
      <c r="C299" s="411">
        <f>SUM('[36]分类汇总表'!BJ1590)/10</f>
        <v>143.07999999999998</v>
      </c>
      <c r="D299" s="411">
        <v>159.8</v>
      </c>
      <c r="E299" s="412">
        <f t="shared" si="14"/>
        <v>-16.720000000000027</v>
      </c>
      <c r="F299" s="412">
        <f t="shared" si="16"/>
        <v>-10.463078848560713</v>
      </c>
      <c r="G299" s="404"/>
    </row>
    <row r="300" spans="1:7" s="391" customFormat="1" ht="17.25" customHeight="1">
      <c r="A300" s="413" t="s">
        <v>580</v>
      </c>
      <c r="B300" s="414" t="s">
        <v>581</v>
      </c>
      <c r="C300" s="415">
        <f>SUM('[36]分类汇总表'!BJ1588)/10</f>
        <v>84.08</v>
      </c>
      <c r="D300" s="415">
        <v>105.8</v>
      </c>
      <c r="E300" s="416">
        <f t="shared" si="14"/>
        <v>-21.72</v>
      </c>
      <c r="F300" s="416">
        <f t="shared" si="16"/>
        <v>-20.52930056710774</v>
      </c>
      <c r="G300" s="404"/>
    </row>
    <row r="301" spans="1:7" s="391" customFormat="1" ht="17.25" customHeight="1">
      <c r="A301" s="413" t="s">
        <v>582</v>
      </c>
      <c r="B301" s="414" t="s">
        <v>583</v>
      </c>
      <c r="C301" s="415">
        <f>SUM('[36]分类汇总表'!BJ1589)/10</f>
        <v>59</v>
      </c>
      <c r="D301" s="415">
        <v>54</v>
      </c>
      <c r="E301" s="416">
        <f t="shared" si="14"/>
        <v>5</v>
      </c>
      <c r="F301" s="416">
        <f t="shared" si="16"/>
        <v>9.259259259259252</v>
      </c>
      <c r="G301" s="404"/>
    </row>
    <row r="302" spans="1:7" s="391" customFormat="1" ht="17.25" customHeight="1">
      <c r="A302" s="409">
        <v>20820</v>
      </c>
      <c r="B302" s="410" t="s">
        <v>584</v>
      </c>
      <c r="C302" s="411">
        <f>SUM('[36]分类汇总表'!BJ1594)/10</f>
        <v>1094.19</v>
      </c>
      <c r="D302" s="411">
        <v>1130.4</v>
      </c>
      <c r="E302" s="412">
        <f t="shared" si="14"/>
        <v>-36.210000000000036</v>
      </c>
      <c r="F302" s="412">
        <f t="shared" si="16"/>
        <v>-3.203290870488331</v>
      </c>
      <c r="G302" s="404"/>
    </row>
    <row r="303" spans="1:7" s="391" customFormat="1" ht="17.25" customHeight="1">
      <c r="A303" s="413" t="s">
        <v>585</v>
      </c>
      <c r="B303" s="414" t="s">
        <v>586</v>
      </c>
      <c r="C303" s="415">
        <f>SUM('[36]分类汇总表'!BJ1591)/10</f>
        <v>260</v>
      </c>
      <c r="D303" s="415">
        <v>260</v>
      </c>
      <c r="E303" s="416">
        <f t="shared" si="14"/>
        <v>0</v>
      </c>
      <c r="F303" s="416">
        <f t="shared" si="16"/>
        <v>0</v>
      </c>
      <c r="G303" s="404"/>
    </row>
    <row r="304" spans="1:7" s="391" customFormat="1" ht="17.25" customHeight="1">
      <c r="A304" s="413" t="s">
        <v>587</v>
      </c>
      <c r="B304" s="414" t="s">
        <v>588</v>
      </c>
      <c r="C304" s="415">
        <f>SUM('[36]分类汇总表'!BJ1592:BJ1593)/10</f>
        <v>834.1899999999999</v>
      </c>
      <c r="D304" s="415">
        <v>870.4</v>
      </c>
      <c r="E304" s="416">
        <f t="shared" si="14"/>
        <v>-36.210000000000036</v>
      </c>
      <c r="F304" s="416">
        <f t="shared" si="16"/>
        <v>-4.16015625</v>
      </c>
      <c r="G304" s="404"/>
    </row>
    <row r="305" spans="1:7" s="391" customFormat="1" ht="17.25" customHeight="1">
      <c r="A305" s="409">
        <v>20899</v>
      </c>
      <c r="B305" s="410" t="s">
        <v>589</v>
      </c>
      <c r="C305" s="411">
        <f>SUM('[36]分类汇总表'!BJ1610)/10</f>
        <v>25276.28</v>
      </c>
      <c r="D305" s="411">
        <v>23535.2</v>
      </c>
      <c r="E305" s="412">
        <f t="shared" si="14"/>
        <v>1741.079999999998</v>
      </c>
      <c r="F305" s="412">
        <f t="shared" si="16"/>
        <v>7.397770148543458</v>
      </c>
      <c r="G305" s="404"/>
    </row>
    <row r="306" spans="1:7" s="391" customFormat="1" ht="17.25" customHeight="1">
      <c r="A306" s="413">
        <v>2089901</v>
      </c>
      <c r="B306" s="414" t="s">
        <v>590</v>
      </c>
      <c r="C306" s="415">
        <f>SUM('[36]分类汇总表'!BJ1595:BJ1609)/10</f>
        <v>25276.28</v>
      </c>
      <c r="D306" s="415">
        <v>23535.2</v>
      </c>
      <c r="E306" s="416">
        <f t="shared" si="14"/>
        <v>1741.079999999998</v>
      </c>
      <c r="F306" s="416">
        <f t="shared" si="16"/>
        <v>7.397770148543458</v>
      </c>
      <c r="G306" s="404"/>
    </row>
    <row r="307" spans="1:7" s="391" customFormat="1" ht="17.25" customHeight="1">
      <c r="A307" s="405">
        <v>210</v>
      </c>
      <c r="B307" s="405" t="s">
        <v>591</v>
      </c>
      <c r="C307" s="406">
        <f>SUM('[36]分类汇总表'!BJ1679)/10</f>
        <v>144453.16999999998</v>
      </c>
      <c r="D307" s="406">
        <v>137754.7</v>
      </c>
      <c r="E307" s="407">
        <f t="shared" si="14"/>
        <v>6698.469999999972</v>
      </c>
      <c r="F307" s="407">
        <f t="shared" si="16"/>
        <v>4.862607228646269</v>
      </c>
      <c r="G307" s="408"/>
    </row>
    <row r="308" spans="1:7" s="391" customFormat="1" ht="17.25" customHeight="1">
      <c r="A308" s="409">
        <v>21001</v>
      </c>
      <c r="B308" s="410" t="s">
        <v>592</v>
      </c>
      <c r="C308" s="411">
        <f>SUM('[36]分类汇总表'!BJ1615)/10</f>
        <v>967.35</v>
      </c>
      <c r="D308" s="411">
        <v>1076.3</v>
      </c>
      <c r="E308" s="412">
        <f t="shared" si="14"/>
        <v>-108.94999999999993</v>
      </c>
      <c r="F308" s="412">
        <f t="shared" si="16"/>
        <v>-10.122642385951863</v>
      </c>
      <c r="G308" s="404"/>
    </row>
    <row r="309" spans="1:7" s="391" customFormat="1" ht="17.25" customHeight="1">
      <c r="A309" s="413" t="s">
        <v>593</v>
      </c>
      <c r="B309" s="422" t="s">
        <v>594</v>
      </c>
      <c r="C309" s="417">
        <f>SUM('[36]分类汇总表'!BJ1612)/10</f>
        <v>627.8</v>
      </c>
      <c r="D309" s="415">
        <v>790.6</v>
      </c>
      <c r="E309" s="416">
        <f t="shared" si="14"/>
        <v>-162.80000000000007</v>
      </c>
      <c r="F309" s="416">
        <f t="shared" si="16"/>
        <v>-20.59195547685303</v>
      </c>
      <c r="G309" s="404"/>
    </row>
    <row r="310" spans="1:7" s="391" customFormat="1" ht="17.25" customHeight="1">
      <c r="A310" s="413" t="s">
        <v>595</v>
      </c>
      <c r="B310" s="422" t="s">
        <v>596</v>
      </c>
      <c r="C310" s="417">
        <f>SUM('[36]分类汇总表'!BJ1613)/10</f>
        <v>261</v>
      </c>
      <c r="D310" s="415">
        <v>204</v>
      </c>
      <c r="E310" s="416">
        <f t="shared" si="14"/>
        <v>57</v>
      </c>
      <c r="F310" s="416">
        <f t="shared" si="16"/>
        <v>27.941176470588232</v>
      </c>
      <c r="G310" s="404"/>
    </row>
    <row r="311" spans="1:7" s="391" customFormat="1" ht="17.25" customHeight="1">
      <c r="A311" s="413" t="s">
        <v>597</v>
      </c>
      <c r="B311" s="414" t="s">
        <v>598</v>
      </c>
      <c r="C311" s="415">
        <f>SUM('[36]分类汇总表'!BJ1614)/10</f>
        <v>78.55</v>
      </c>
      <c r="D311" s="415">
        <v>81.7</v>
      </c>
      <c r="E311" s="416">
        <f t="shared" si="14"/>
        <v>-3.1500000000000057</v>
      </c>
      <c r="F311" s="416">
        <f t="shared" si="16"/>
        <v>-3.8555691554467586</v>
      </c>
      <c r="G311" s="404"/>
    </row>
    <row r="312" spans="1:7" s="391" customFormat="1" ht="17.25" customHeight="1">
      <c r="A312" s="409">
        <v>21002</v>
      </c>
      <c r="B312" s="410" t="s">
        <v>599</v>
      </c>
      <c r="C312" s="411">
        <f>SUM('[36]分类汇总表'!BJ1627)/10</f>
        <v>38034.35</v>
      </c>
      <c r="D312" s="411">
        <v>44960.7</v>
      </c>
      <c r="E312" s="412">
        <f t="shared" si="14"/>
        <v>-6926.3499999999985</v>
      </c>
      <c r="F312" s="412">
        <f t="shared" si="16"/>
        <v>-15.405342888344705</v>
      </c>
      <c r="G312" s="404"/>
    </row>
    <row r="313" spans="1:7" s="391" customFormat="1" ht="17.25" customHeight="1">
      <c r="A313" s="413" t="s">
        <v>600</v>
      </c>
      <c r="B313" s="414" t="s">
        <v>601</v>
      </c>
      <c r="C313" s="415">
        <f>SUM('[36]分类汇总表'!BJ1616:BJ1618)/10</f>
        <v>18285.79</v>
      </c>
      <c r="D313" s="415">
        <v>21415.8</v>
      </c>
      <c r="E313" s="416">
        <f t="shared" si="14"/>
        <v>-3130.0099999999984</v>
      </c>
      <c r="F313" s="416">
        <f t="shared" si="16"/>
        <v>-14.615424126112487</v>
      </c>
      <c r="G313" s="404"/>
    </row>
    <row r="314" spans="1:7" s="391" customFormat="1" ht="17.25" customHeight="1">
      <c r="A314" s="413" t="s">
        <v>602</v>
      </c>
      <c r="B314" s="414" t="s">
        <v>603</v>
      </c>
      <c r="C314" s="415">
        <f>SUM('[36]分类汇总表'!BJ1619:BJ1620)/10</f>
        <v>7588.5</v>
      </c>
      <c r="D314" s="415">
        <v>9609</v>
      </c>
      <c r="E314" s="416">
        <f t="shared" si="14"/>
        <v>-2020.5</v>
      </c>
      <c r="F314" s="416">
        <f t="shared" si="16"/>
        <v>-21.02716203559163</v>
      </c>
      <c r="G314" s="404"/>
    </row>
    <row r="315" spans="1:7" s="391" customFormat="1" ht="17.25" customHeight="1">
      <c r="A315" s="413" t="s">
        <v>604</v>
      </c>
      <c r="B315" s="414" t="s">
        <v>605</v>
      </c>
      <c r="C315" s="415">
        <f>SUM('[36]分类汇总表'!BJ1621)/10</f>
        <v>2974.48</v>
      </c>
      <c r="D315" s="415">
        <v>3446.5</v>
      </c>
      <c r="E315" s="416">
        <f t="shared" si="14"/>
        <v>-472.02</v>
      </c>
      <c r="F315" s="416">
        <f t="shared" si="16"/>
        <v>-13.695633251124335</v>
      </c>
      <c r="G315" s="404"/>
    </row>
    <row r="316" spans="1:7" s="391" customFormat="1" ht="17.25" customHeight="1">
      <c r="A316" s="413" t="s">
        <v>606</v>
      </c>
      <c r="B316" s="414" t="s">
        <v>607</v>
      </c>
      <c r="C316" s="415">
        <f>SUM('[36]分类汇总表'!BJ1622:BJ1623)/10</f>
        <v>5249.35</v>
      </c>
      <c r="D316" s="415">
        <v>6159</v>
      </c>
      <c r="E316" s="416">
        <f t="shared" si="14"/>
        <v>-909.6499999999996</v>
      </c>
      <c r="F316" s="416">
        <f t="shared" si="16"/>
        <v>-14.769443091410935</v>
      </c>
      <c r="G316" s="404"/>
    </row>
    <row r="317" spans="1:7" s="391" customFormat="1" ht="17.25" customHeight="1">
      <c r="A317" s="413" t="s">
        <v>608</v>
      </c>
      <c r="B317" s="414" t="s">
        <v>609</v>
      </c>
      <c r="C317" s="415">
        <f>SUM('[36]分类汇总表'!BJ1624:BJ1625)/10</f>
        <v>3747.46</v>
      </c>
      <c r="D317" s="415">
        <v>4061</v>
      </c>
      <c r="E317" s="416">
        <f t="shared" si="14"/>
        <v>-313.53999999999996</v>
      </c>
      <c r="F317" s="416">
        <f t="shared" si="16"/>
        <v>-7.720758433883276</v>
      </c>
      <c r="G317" s="404"/>
    </row>
    <row r="318" spans="1:7" s="391" customFormat="1" ht="17.25" customHeight="1">
      <c r="A318" s="413" t="s">
        <v>610</v>
      </c>
      <c r="B318" s="414" t="s">
        <v>611</v>
      </c>
      <c r="C318" s="415">
        <f>SUM('[36]分类汇总表'!BJ1626)/10</f>
        <v>188.77</v>
      </c>
      <c r="D318" s="415">
        <v>269.4</v>
      </c>
      <c r="E318" s="416">
        <f t="shared" si="14"/>
        <v>-80.62999999999997</v>
      </c>
      <c r="F318" s="416">
        <f t="shared" si="16"/>
        <v>-29.929472902746838</v>
      </c>
      <c r="G318" s="404"/>
    </row>
    <row r="319" spans="1:7" s="391" customFormat="1" ht="17.25" customHeight="1">
      <c r="A319" s="409">
        <v>21003</v>
      </c>
      <c r="B319" s="410" t="s">
        <v>612</v>
      </c>
      <c r="C319" s="411">
        <f>SUM('[36]分类汇总表'!BJ1631)/10</f>
        <v>1255</v>
      </c>
      <c r="D319" s="411">
        <v>195</v>
      </c>
      <c r="E319" s="412">
        <f t="shared" si="14"/>
        <v>1060</v>
      </c>
      <c r="F319" s="412">
        <f t="shared" si="16"/>
        <v>543.5897435897436</v>
      </c>
      <c r="G319" s="404"/>
    </row>
    <row r="320" spans="1:7" s="391" customFormat="1" ht="17.25" customHeight="1">
      <c r="A320" s="413">
        <v>2100301</v>
      </c>
      <c r="B320" s="414" t="s">
        <v>613</v>
      </c>
      <c r="C320" s="415">
        <f>SUM('[36]分类汇总表'!BJ1628)/10</f>
        <v>460</v>
      </c>
      <c r="D320" s="411"/>
      <c r="E320" s="416">
        <f t="shared" si="14"/>
        <v>460</v>
      </c>
      <c r="F320" s="412"/>
      <c r="G320" s="404"/>
    </row>
    <row r="321" spans="1:7" s="391" customFormat="1" ht="17.25" customHeight="1">
      <c r="A321" s="413" t="s">
        <v>614</v>
      </c>
      <c r="B321" s="414" t="s">
        <v>615</v>
      </c>
      <c r="C321" s="415">
        <f>SUM('[36]分类汇总表'!BJ1629:BJ1630)/10</f>
        <v>795</v>
      </c>
      <c r="D321" s="415">
        <v>195</v>
      </c>
      <c r="E321" s="416">
        <f t="shared" si="14"/>
        <v>600</v>
      </c>
      <c r="F321" s="416">
        <f aca="true" t="shared" si="17" ref="F321:F334">C321/D321*100-100</f>
        <v>307.6923076923077</v>
      </c>
      <c r="G321" s="404"/>
    </row>
    <row r="322" spans="1:7" s="391" customFormat="1" ht="17.25" customHeight="1">
      <c r="A322" s="409">
        <v>21004</v>
      </c>
      <c r="B322" s="410" t="s">
        <v>616</v>
      </c>
      <c r="C322" s="411">
        <f>'[36]分类汇总表'!BJ1646/10</f>
        <v>11432.28</v>
      </c>
      <c r="D322" s="411">
        <v>13110.6</v>
      </c>
      <c r="E322" s="412">
        <f t="shared" si="14"/>
        <v>-1678.3199999999997</v>
      </c>
      <c r="F322" s="412">
        <f t="shared" si="17"/>
        <v>-12.801244794288593</v>
      </c>
      <c r="G322" s="404"/>
    </row>
    <row r="323" spans="1:7" s="391" customFormat="1" ht="17.25" customHeight="1">
      <c r="A323" s="413" t="s">
        <v>617</v>
      </c>
      <c r="B323" s="414" t="s">
        <v>618</v>
      </c>
      <c r="C323" s="415">
        <f>SUM('[36]分类汇总表'!BJ1632)/10</f>
        <v>2687.4900000000002</v>
      </c>
      <c r="D323" s="415">
        <v>4373.9</v>
      </c>
      <c r="E323" s="416">
        <f t="shared" si="14"/>
        <v>-1686.4099999999994</v>
      </c>
      <c r="F323" s="416">
        <f t="shared" si="17"/>
        <v>-38.55620841811655</v>
      </c>
      <c r="G323" s="404"/>
    </row>
    <row r="324" spans="1:7" s="391" customFormat="1" ht="17.25" customHeight="1">
      <c r="A324" s="413" t="s">
        <v>619</v>
      </c>
      <c r="B324" s="414" t="s">
        <v>620</v>
      </c>
      <c r="C324" s="415">
        <f>SUM('[36]分类汇总表'!BJ1633)/10</f>
        <v>712.13</v>
      </c>
      <c r="D324" s="415">
        <v>772.1</v>
      </c>
      <c r="E324" s="416">
        <f t="shared" si="14"/>
        <v>-59.97000000000003</v>
      </c>
      <c r="F324" s="416">
        <f t="shared" si="17"/>
        <v>-7.767128610283649</v>
      </c>
      <c r="G324" s="404"/>
    </row>
    <row r="325" spans="1:7" s="391" customFormat="1" ht="17.25" customHeight="1">
      <c r="A325" s="413" t="s">
        <v>621</v>
      </c>
      <c r="B325" s="414" t="s">
        <v>622</v>
      </c>
      <c r="C325" s="415">
        <f>SUM('[36]分类汇总表'!BJ1634)/10</f>
        <v>533.1800000000001</v>
      </c>
      <c r="D325" s="415">
        <v>640.5</v>
      </c>
      <c r="E325" s="416">
        <f aca="true" t="shared" si="18" ref="E325:E388">C325-D325</f>
        <v>-107.31999999999994</v>
      </c>
      <c r="F325" s="416">
        <f t="shared" si="17"/>
        <v>-16.755659640905535</v>
      </c>
      <c r="G325" s="404"/>
    </row>
    <row r="326" spans="1:7" s="391" customFormat="1" ht="17.25" customHeight="1">
      <c r="A326" s="413" t="s">
        <v>623</v>
      </c>
      <c r="B326" s="414" t="s">
        <v>624</v>
      </c>
      <c r="C326" s="415">
        <f>SUM('[36]分类汇总表'!BJ1635)/10</f>
        <v>339.46</v>
      </c>
      <c r="D326" s="415">
        <v>411.9</v>
      </c>
      <c r="E326" s="416">
        <f t="shared" si="18"/>
        <v>-72.44</v>
      </c>
      <c r="F326" s="416">
        <f t="shared" si="17"/>
        <v>-17.586792910900712</v>
      </c>
      <c r="G326" s="404"/>
    </row>
    <row r="327" spans="1:7" s="391" customFormat="1" ht="17.25" customHeight="1">
      <c r="A327" s="413" t="s">
        <v>625</v>
      </c>
      <c r="B327" s="414" t="s">
        <v>626</v>
      </c>
      <c r="C327" s="415">
        <f>SUM('[36]分类汇总表'!BJ1636)/10</f>
        <v>1828.45</v>
      </c>
      <c r="D327" s="415">
        <v>1774</v>
      </c>
      <c r="E327" s="416">
        <f t="shared" si="18"/>
        <v>54.450000000000045</v>
      </c>
      <c r="F327" s="416">
        <f t="shared" si="17"/>
        <v>3.0693348365276307</v>
      </c>
      <c r="G327" s="404"/>
    </row>
    <row r="328" spans="1:7" s="391" customFormat="1" ht="17.25" customHeight="1">
      <c r="A328" s="413" t="s">
        <v>627</v>
      </c>
      <c r="B328" s="414" t="s">
        <v>628</v>
      </c>
      <c r="C328" s="415">
        <f>SUM('[36]分类汇总表'!BJ1637)/10</f>
        <v>2571.45</v>
      </c>
      <c r="D328" s="415">
        <v>2299.2</v>
      </c>
      <c r="E328" s="416">
        <f t="shared" si="18"/>
        <v>272.25</v>
      </c>
      <c r="F328" s="416">
        <f t="shared" si="17"/>
        <v>11.841075156576196</v>
      </c>
      <c r="G328" s="404"/>
    </row>
    <row r="329" spans="1:7" s="391" customFormat="1" ht="17.25" customHeight="1">
      <c r="A329" s="413" t="s">
        <v>629</v>
      </c>
      <c r="B329" s="414" t="s">
        <v>630</v>
      </c>
      <c r="C329" s="415">
        <f>SUM('[36]分类汇总表'!BJ1638)/10</f>
        <v>476.12</v>
      </c>
      <c r="D329" s="415">
        <v>555.1</v>
      </c>
      <c r="E329" s="416">
        <f t="shared" si="18"/>
        <v>-78.98000000000002</v>
      </c>
      <c r="F329" s="416">
        <f t="shared" si="17"/>
        <v>-14.22806701495226</v>
      </c>
      <c r="G329" s="404"/>
    </row>
    <row r="330" spans="1:7" s="391" customFormat="1" ht="17.25" customHeight="1">
      <c r="A330" s="413">
        <v>2100408</v>
      </c>
      <c r="B330" s="414" t="s">
        <v>631</v>
      </c>
      <c r="C330" s="415"/>
      <c r="D330" s="415">
        <v>550</v>
      </c>
      <c r="E330" s="416">
        <f t="shared" si="18"/>
        <v>-550</v>
      </c>
      <c r="F330" s="416">
        <f t="shared" si="17"/>
        <v>-100</v>
      </c>
      <c r="G330" s="404"/>
    </row>
    <row r="331" spans="1:7" s="391" customFormat="1" ht="17.25" customHeight="1">
      <c r="A331" s="413">
        <v>2100409</v>
      </c>
      <c r="B331" s="414" t="s">
        <v>632</v>
      </c>
      <c r="C331" s="415">
        <f>SUM('[36]分类汇总表'!BJ1640:BJ1645)/10</f>
        <v>2184</v>
      </c>
      <c r="D331" s="415">
        <v>1634</v>
      </c>
      <c r="E331" s="416">
        <f t="shared" si="18"/>
        <v>550</v>
      </c>
      <c r="F331" s="416">
        <f t="shared" si="17"/>
        <v>33.65973072215422</v>
      </c>
      <c r="G331" s="404"/>
    </row>
    <row r="332" spans="1:7" s="391" customFormat="1" ht="17.25" customHeight="1">
      <c r="A332" s="413">
        <v>2100410</v>
      </c>
      <c r="B332" s="414" t="s">
        <v>633</v>
      </c>
      <c r="C332" s="415">
        <f>SUM('[36]分类汇总表'!BJ1639)/10</f>
        <v>100</v>
      </c>
      <c r="D332" s="415">
        <v>100</v>
      </c>
      <c r="E332" s="416">
        <f t="shared" si="18"/>
        <v>0</v>
      </c>
      <c r="F332" s="416">
        <f t="shared" si="17"/>
        <v>0</v>
      </c>
      <c r="G332" s="404"/>
    </row>
    <row r="333" spans="1:7" s="391" customFormat="1" ht="17.25" customHeight="1">
      <c r="A333" s="409">
        <v>21005</v>
      </c>
      <c r="B333" s="410" t="s">
        <v>634</v>
      </c>
      <c r="C333" s="411">
        <f>SUM('[36]分类汇总表'!BJ1659)/10</f>
        <v>59555</v>
      </c>
      <c r="D333" s="411">
        <v>51335</v>
      </c>
      <c r="E333" s="412">
        <f t="shared" si="18"/>
        <v>8220</v>
      </c>
      <c r="F333" s="412">
        <f t="shared" si="17"/>
        <v>16.01246712769067</v>
      </c>
      <c r="G333" s="404"/>
    </row>
    <row r="334" spans="1:7" s="391" customFormat="1" ht="17.25" customHeight="1">
      <c r="A334" s="413" t="s">
        <v>635</v>
      </c>
      <c r="B334" s="414" t="s">
        <v>636</v>
      </c>
      <c r="C334" s="415">
        <f>SUM('[36]分类汇总表'!BJ1647)/10</f>
        <v>199</v>
      </c>
      <c r="D334" s="415">
        <v>199</v>
      </c>
      <c r="E334" s="416">
        <f t="shared" si="18"/>
        <v>0</v>
      </c>
      <c r="F334" s="416">
        <f t="shared" si="17"/>
        <v>0</v>
      </c>
      <c r="G334" s="404"/>
    </row>
    <row r="335" spans="1:7" s="391" customFormat="1" ht="17.25" customHeight="1">
      <c r="A335" s="413">
        <v>2100506</v>
      </c>
      <c r="B335" s="414" t="s">
        <v>637</v>
      </c>
      <c r="C335" s="415"/>
      <c r="D335" s="415">
        <v>0</v>
      </c>
      <c r="E335" s="416">
        <f t="shared" si="18"/>
        <v>0</v>
      </c>
      <c r="F335" s="416"/>
      <c r="G335" s="404"/>
    </row>
    <row r="336" spans="1:7" s="391" customFormat="1" ht="17.25" customHeight="1">
      <c r="A336" s="413">
        <v>2100508</v>
      </c>
      <c r="B336" s="414" t="s">
        <v>638</v>
      </c>
      <c r="C336" s="415">
        <f>SUM('[36]分类汇总表'!BJ1648:BJ1649)/10</f>
        <v>10226</v>
      </c>
      <c r="D336" s="415">
        <v>10226</v>
      </c>
      <c r="E336" s="416">
        <f t="shared" si="18"/>
        <v>0</v>
      </c>
      <c r="F336" s="416">
        <f aca="true" t="shared" si="19" ref="F336:F342">C336/D336*100-100</f>
        <v>0</v>
      </c>
      <c r="G336" s="404"/>
    </row>
    <row r="337" spans="1:7" s="391" customFormat="1" ht="17.25" customHeight="1">
      <c r="A337" s="413">
        <v>2100510</v>
      </c>
      <c r="B337" s="414" t="s">
        <v>639</v>
      </c>
      <c r="C337" s="415">
        <f>SUM('[36]分类汇总表'!BJ1650)/10</f>
        <v>200</v>
      </c>
      <c r="D337" s="415"/>
      <c r="E337" s="416">
        <f t="shared" si="18"/>
        <v>200</v>
      </c>
      <c r="F337" s="416"/>
      <c r="G337" s="404"/>
    </row>
    <row r="338" spans="1:7" s="391" customFormat="1" ht="17.25" customHeight="1">
      <c r="A338" s="413">
        <v>2100599</v>
      </c>
      <c r="B338" s="414" t="s">
        <v>640</v>
      </c>
      <c r="C338" s="415">
        <f>SUM('[36]分类汇总表'!BJ1651:BJ1658)/10</f>
        <v>48930</v>
      </c>
      <c r="D338" s="415">
        <v>40910</v>
      </c>
      <c r="E338" s="416">
        <f t="shared" si="18"/>
        <v>8020</v>
      </c>
      <c r="F338" s="416">
        <f t="shared" si="19"/>
        <v>19.604008799804433</v>
      </c>
      <c r="G338" s="404"/>
    </row>
    <row r="339" spans="1:7" s="391" customFormat="1" ht="17.25" customHeight="1">
      <c r="A339" s="409">
        <v>21006</v>
      </c>
      <c r="B339" s="410" t="s">
        <v>641</v>
      </c>
      <c r="C339" s="411">
        <f>'表4-2'!C340</f>
        <v>200</v>
      </c>
      <c r="D339" s="411">
        <v>200</v>
      </c>
      <c r="E339" s="412">
        <f t="shared" si="18"/>
        <v>0</v>
      </c>
      <c r="F339" s="412">
        <f t="shared" si="19"/>
        <v>0</v>
      </c>
      <c r="G339" s="404"/>
    </row>
    <row r="340" spans="1:7" s="391" customFormat="1" ht="17.25" customHeight="1">
      <c r="A340" s="413">
        <v>2100699</v>
      </c>
      <c r="B340" s="414" t="s">
        <v>642</v>
      </c>
      <c r="C340" s="415">
        <f>'[36]分类汇总表'!BJ1660/10</f>
        <v>200</v>
      </c>
      <c r="D340" s="415">
        <v>200</v>
      </c>
      <c r="E340" s="416">
        <f t="shared" si="18"/>
        <v>0</v>
      </c>
      <c r="F340" s="416">
        <f t="shared" si="19"/>
        <v>0</v>
      </c>
      <c r="G340" s="404"/>
    </row>
    <row r="341" spans="1:7" s="391" customFormat="1" ht="17.25" customHeight="1">
      <c r="A341" s="409">
        <v>21007</v>
      </c>
      <c r="B341" s="410" t="s">
        <v>643</v>
      </c>
      <c r="C341" s="411">
        <f>SUM('[36]分类汇总表'!BJ1664)/10</f>
        <v>1710.05</v>
      </c>
      <c r="D341" s="411">
        <v>1720.3</v>
      </c>
      <c r="E341" s="412">
        <f t="shared" si="18"/>
        <v>-10.25</v>
      </c>
      <c r="F341" s="412">
        <f t="shared" si="19"/>
        <v>-0.5958263093646394</v>
      </c>
      <c r="G341" s="404"/>
    </row>
    <row r="342" spans="1:7" s="391" customFormat="1" ht="17.25" customHeight="1">
      <c r="A342" s="413" t="s">
        <v>644</v>
      </c>
      <c r="B342" s="414" t="s">
        <v>645</v>
      </c>
      <c r="C342" s="415">
        <f>SUM('[36]分类汇总表'!BJ1661)/10</f>
        <v>24.07</v>
      </c>
      <c r="D342" s="415">
        <v>26.7</v>
      </c>
      <c r="E342" s="416">
        <f t="shared" si="18"/>
        <v>-2.629999999999999</v>
      </c>
      <c r="F342" s="416">
        <f t="shared" si="19"/>
        <v>-9.850187265917597</v>
      </c>
      <c r="G342" s="404"/>
    </row>
    <row r="343" spans="1:7" s="391" customFormat="1" ht="17.25" customHeight="1">
      <c r="A343" s="413" t="s">
        <v>646</v>
      </c>
      <c r="B343" s="414" t="s">
        <v>647</v>
      </c>
      <c r="C343" s="415"/>
      <c r="D343" s="415"/>
      <c r="E343" s="416">
        <f t="shared" si="18"/>
        <v>0</v>
      </c>
      <c r="F343" s="416"/>
      <c r="G343" s="404"/>
    </row>
    <row r="344" spans="1:7" s="391" customFormat="1" ht="17.25" customHeight="1">
      <c r="A344" s="413" t="s">
        <v>648</v>
      </c>
      <c r="B344" s="414" t="s">
        <v>649</v>
      </c>
      <c r="C344" s="415">
        <f>SUM('[36]分类汇总表'!BJ1662:BJ1663)/10</f>
        <v>1685.98</v>
      </c>
      <c r="D344" s="415">
        <v>1693.6</v>
      </c>
      <c r="E344" s="416">
        <f t="shared" si="18"/>
        <v>-7.619999999999891</v>
      </c>
      <c r="F344" s="416">
        <f aca="true" t="shared" si="20" ref="F344:F375">C344/D344*100-100</f>
        <v>-0.4499291450165259</v>
      </c>
      <c r="G344" s="404"/>
    </row>
    <row r="345" spans="1:7" s="391" customFormat="1" ht="17.25" customHeight="1">
      <c r="A345" s="409">
        <v>21010</v>
      </c>
      <c r="B345" s="410" t="s">
        <v>650</v>
      </c>
      <c r="C345" s="411">
        <f>SUM('[36]分类汇总表'!BJ1672)/10</f>
        <v>4399.14</v>
      </c>
      <c r="D345" s="411">
        <v>3768.8</v>
      </c>
      <c r="E345" s="412">
        <f t="shared" si="18"/>
        <v>630.3400000000001</v>
      </c>
      <c r="F345" s="412">
        <f t="shared" si="20"/>
        <v>16.725217575886234</v>
      </c>
      <c r="G345" s="404"/>
    </row>
    <row r="346" spans="1:7" s="391" customFormat="1" ht="17.25" customHeight="1">
      <c r="A346" s="413" t="s">
        <v>651</v>
      </c>
      <c r="B346" s="414" t="s">
        <v>652</v>
      </c>
      <c r="C346" s="415">
        <f>SUM('[36]分类汇总表'!BJ1665)/10</f>
        <v>599.3</v>
      </c>
      <c r="D346" s="415">
        <v>519.7</v>
      </c>
      <c r="E346" s="416">
        <f t="shared" si="18"/>
        <v>79.59999999999991</v>
      </c>
      <c r="F346" s="416">
        <f t="shared" si="20"/>
        <v>15.316528766596107</v>
      </c>
      <c r="G346" s="404"/>
    </row>
    <row r="347" spans="1:7" s="391" customFormat="1" ht="17.25" customHeight="1">
      <c r="A347" s="413" t="s">
        <v>653</v>
      </c>
      <c r="B347" s="414" t="s">
        <v>654</v>
      </c>
      <c r="C347" s="415">
        <f>SUM('[36]分类汇总表'!BJ1666)/10</f>
        <v>232</v>
      </c>
      <c r="D347" s="415">
        <v>259</v>
      </c>
      <c r="E347" s="416">
        <f t="shared" si="18"/>
        <v>-27</v>
      </c>
      <c r="F347" s="416">
        <f t="shared" si="20"/>
        <v>-10.424710424710426</v>
      </c>
      <c r="G347" s="404"/>
    </row>
    <row r="348" spans="1:7" s="391" customFormat="1" ht="17.25" customHeight="1">
      <c r="A348" s="413" t="s">
        <v>655</v>
      </c>
      <c r="B348" s="414" t="s">
        <v>656</v>
      </c>
      <c r="C348" s="415">
        <f>SUM('[36]分类汇总表'!BJ1667:BJ1668)/10</f>
        <v>702.28</v>
      </c>
      <c r="D348" s="415">
        <v>772.9</v>
      </c>
      <c r="E348" s="416">
        <f t="shared" si="18"/>
        <v>-70.62</v>
      </c>
      <c r="F348" s="416">
        <f t="shared" si="20"/>
        <v>-9.137016431621163</v>
      </c>
      <c r="G348" s="404"/>
    </row>
    <row r="349" spans="1:7" s="391" customFormat="1" ht="17.25" customHeight="1">
      <c r="A349" s="413" t="s">
        <v>657</v>
      </c>
      <c r="B349" s="414" t="s">
        <v>658</v>
      </c>
      <c r="C349" s="415">
        <f>SUM('[36]分类汇总表'!BJ1669:BJ1671)/10</f>
        <v>2865.56</v>
      </c>
      <c r="D349" s="415">
        <v>2217.2</v>
      </c>
      <c r="E349" s="416">
        <f t="shared" si="18"/>
        <v>648.3600000000001</v>
      </c>
      <c r="F349" s="416">
        <f t="shared" si="20"/>
        <v>29.242287569908</v>
      </c>
      <c r="G349" s="404"/>
    </row>
    <row r="350" spans="1:7" s="391" customFormat="1" ht="17.25" customHeight="1">
      <c r="A350" s="409">
        <v>21099</v>
      </c>
      <c r="B350" s="410" t="s">
        <v>659</v>
      </c>
      <c r="C350" s="411">
        <f>SUM('[36]分类汇总表'!BJ1678)/10</f>
        <v>26900</v>
      </c>
      <c r="D350" s="411">
        <v>21388.1</v>
      </c>
      <c r="E350" s="412">
        <f t="shared" si="18"/>
        <v>5511.9000000000015</v>
      </c>
      <c r="F350" s="412">
        <f t="shared" si="20"/>
        <v>25.770872588027927</v>
      </c>
      <c r="G350" s="404"/>
    </row>
    <row r="351" spans="1:7" s="391" customFormat="1" ht="17.25" customHeight="1">
      <c r="A351" s="413">
        <v>2109901</v>
      </c>
      <c r="B351" s="414" t="s">
        <v>660</v>
      </c>
      <c r="C351" s="415">
        <f>SUM('[36]分类汇总表'!BJ1673:BJ1677)/10</f>
        <v>26900</v>
      </c>
      <c r="D351" s="415">
        <v>21388.1</v>
      </c>
      <c r="E351" s="416">
        <f t="shared" si="18"/>
        <v>5511.9000000000015</v>
      </c>
      <c r="F351" s="416">
        <f t="shared" si="20"/>
        <v>25.770872588027927</v>
      </c>
      <c r="G351" s="404"/>
    </row>
    <row r="352" spans="1:7" s="391" customFormat="1" ht="17.25" customHeight="1">
      <c r="A352" s="405">
        <v>211</v>
      </c>
      <c r="B352" s="405" t="s">
        <v>661</v>
      </c>
      <c r="C352" s="406">
        <f>SUM('[36]分类汇总表'!BJ1697)/10</f>
        <v>10038.24</v>
      </c>
      <c r="D352" s="406">
        <v>10045.9</v>
      </c>
      <c r="E352" s="407">
        <f t="shared" si="18"/>
        <v>-7.6599999999998545</v>
      </c>
      <c r="F352" s="407">
        <f t="shared" si="20"/>
        <v>-0.0762500124428982</v>
      </c>
      <c r="G352" s="419"/>
    </row>
    <row r="353" spans="1:7" s="391" customFormat="1" ht="17.25" customHeight="1">
      <c r="A353" s="409">
        <v>21101</v>
      </c>
      <c r="B353" s="410" t="s">
        <v>662</v>
      </c>
      <c r="C353" s="411">
        <f>SUM('[36]分类汇总表'!BJ1686)/10</f>
        <v>2062.3</v>
      </c>
      <c r="D353" s="411">
        <v>2215.7</v>
      </c>
      <c r="E353" s="412">
        <f t="shared" si="18"/>
        <v>-153.39999999999964</v>
      </c>
      <c r="F353" s="412">
        <f t="shared" si="20"/>
        <v>-6.92331994403574</v>
      </c>
      <c r="G353" s="404"/>
    </row>
    <row r="354" spans="1:7" s="391" customFormat="1" ht="17.25" customHeight="1">
      <c r="A354" s="413" t="s">
        <v>663</v>
      </c>
      <c r="B354" s="414" t="s">
        <v>664</v>
      </c>
      <c r="C354" s="415">
        <f>SUM('[36]分类汇总表'!BJ1680:BJ1681)/10</f>
        <v>899.54</v>
      </c>
      <c r="D354" s="415">
        <v>932.2</v>
      </c>
      <c r="E354" s="416">
        <f t="shared" si="18"/>
        <v>-32.66000000000008</v>
      </c>
      <c r="F354" s="416">
        <f t="shared" si="20"/>
        <v>-3.50354001287279</v>
      </c>
      <c r="G354" s="404"/>
    </row>
    <row r="355" spans="1:7" s="391" customFormat="1" ht="17.25" customHeight="1">
      <c r="A355" s="413" t="s">
        <v>665</v>
      </c>
      <c r="B355" s="414" t="s">
        <v>666</v>
      </c>
      <c r="C355" s="415">
        <f>SUM('[36]分类汇总表'!BJ1682)/10</f>
        <v>36.85</v>
      </c>
      <c r="D355" s="415">
        <v>36.9</v>
      </c>
      <c r="E355" s="416">
        <f t="shared" si="18"/>
        <v>-0.04999999999999716</v>
      </c>
      <c r="F355" s="416">
        <f t="shared" si="20"/>
        <v>-0.13550135501354532</v>
      </c>
      <c r="G355" s="404"/>
    </row>
    <row r="356" spans="1:7" s="391" customFormat="1" ht="17.25" customHeight="1">
      <c r="A356" s="413" t="s">
        <v>667</v>
      </c>
      <c r="B356" s="414" t="s">
        <v>668</v>
      </c>
      <c r="C356" s="415">
        <f>SUM('[36]分类汇总表'!BJ1683:BJ1685)/10</f>
        <v>1125.91</v>
      </c>
      <c r="D356" s="415">
        <v>1246.7</v>
      </c>
      <c r="E356" s="416">
        <f t="shared" si="18"/>
        <v>-120.78999999999996</v>
      </c>
      <c r="F356" s="416">
        <f t="shared" si="20"/>
        <v>-9.68877837490976</v>
      </c>
      <c r="G356" s="404"/>
    </row>
    <row r="357" spans="1:7" s="391" customFormat="1" ht="17.25" customHeight="1">
      <c r="A357" s="409">
        <v>21102</v>
      </c>
      <c r="B357" s="410" t="s">
        <v>669</v>
      </c>
      <c r="C357" s="411">
        <f>SUM('[36]分类汇总表'!BJ1688)/10</f>
        <v>114</v>
      </c>
      <c r="D357" s="411">
        <v>149.8</v>
      </c>
      <c r="E357" s="412">
        <f t="shared" si="18"/>
        <v>-35.80000000000001</v>
      </c>
      <c r="F357" s="412">
        <f t="shared" si="20"/>
        <v>-23.898531375166897</v>
      </c>
      <c r="G357" s="404"/>
    </row>
    <row r="358" spans="1:7" s="391" customFormat="1" ht="17.25" customHeight="1">
      <c r="A358" s="413" t="s">
        <v>670</v>
      </c>
      <c r="B358" s="414" t="s">
        <v>671</v>
      </c>
      <c r="C358" s="415">
        <f>SUM('[36]分类汇总表'!BJ1687)/10</f>
        <v>114</v>
      </c>
      <c r="D358" s="415">
        <v>149.8</v>
      </c>
      <c r="E358" s="416">
        <f t="shared" si="18"/>
        <v>-35.80000000000001</v>
      </c>
      <c r="F358" s="416">
        <f t="shared" si="20"/>
        <v>-23.898531375166897</v>
      </c>
      <c r="G358" s="404"/>
    </row>
    <row r="359" spans="1:7" s="391" customFormat="1" ht="17.25" customHeight="1">
      <c r="A359" s="409">
        <v>21103</v>
      </c>
      <c r="B359" s="410" t="s">
        <v>672</v>
      </c>
      <c r="C359" s="411">
        <f>SUM('[36]分类汇总表'!BJ1691)/10</f>
        <v>3537.97</v>
      </c>
      <c r="D359" s="411">
        <v>3548.4</v>
      </c>
      <c r="E359" s="416">
        <f t="shared" si="18"/>
        <v>-10.430000000000291</v>
      </c>
      <c r="F359" s="416">
        <f t="shared" si="20"/>
        <v>-0.2939352947807521</v>
      </c>
      <c r="G359" s="404"/>
    </row>
    <row r="360" spans="1:7" s="391" customFormat="1" ht="17.25" customHeight="1">
      <c r="A360" s="413" t="s">
        <v>673</v>
      </c>
      <c r="B360" s="414" t="s">
        <v>674</v>
      </c>
      <c r="C360" s="415">
        <f>SUM('[36]分类汇总表'!BJ1689)/10</f>
        <v>37.97</v>
      </c>
      <c r="D360" s="415">
        <v>48.4</v>
      </c>
      <c r="E360" s="416">
        <f t="shared" si="18"/>
        <v>-10.43</v>
      </c>
      <c r="F360" s="416">
        <f t="shared" si="20"/>
        <v>-21.549586776859513</v>
      </c>
      <c r="G360" s="404"/>
    </row>
    <row r="361" spans="1:7" s="391" customFormat="1" ht="17.25" customHeight="1">
      <c r="A361" s="413">
        <v>2110307</v>
      </c>
      <c r="B361" s="414" t="s">
        <v>675</v>
      </c>
      <c r="C361" s="415">
        <f>SUM('[36]分类汇总表'!BJ1690)/10</f>
        <v>3500</v>
      </c>
      <c r="D361" s="415">
        <v>3500</v>
      </c>
      <c r="E361" s="416">
        <f t="shared" si="18"/>
        <v>0</v>
      </c>
      <c r="F361" s="416">
        <f t="shared" si="20"/>
        <v>0</v>
      </c>
      <c r="G361" s="404"/>
    </row>
    <row r="362" spans="1:7" s="391" customFormat="1" ht="17.25" customHeight="1">
      <c r="A362" s="409">
        <v>21110</v>
      </c>
      <c r="B362" s="410" t="s">
        <v>676</v>
      </c>
      <c r="C362" s="411">
        <f>SUM('[36]分类汇总表'!BJ1693)/10</f>
        <v>123.97</v>
      </c>
      <c r="D362" s="411">
        <v>131.9</v>
      </c>
      <c r="E362" s="412">
        <f t="shared" si="18"/>
        <v>-7.930000000000007</v>
      </c>
      <c r="F362" s="412">
        <f t="shared" si="20"/>
        <v>-6.012130401819562</v>
      </c>
      <c r="G362" s="404"/>
    </row>
    <row r="363" spans="1:7" s="391" customFormat="1" ht="17.25" customHeight="1">
      <c r="A363" s="413" t="s">
        <v>677</v>
      </c>
      <c r="B363" s="414" t="s">
        <v>678</v>
      </c>
      <c r="C363" s="415">
        <f>SUM('[36]分类汇总表'!BJ1692)/10</f>
        <v>123.97</v>
      </c>
      <c r="D363" s="415">
        <v>131.9</v>
      </c>
      <c r="E363" s="416">
        <f t="shared" si="18"/>
        <v>-7.930000000000007</v>
      </c>
      <c r="F363" s="416">
        <f t="shared" si="20"/>
        <v>-6.012130401819562</v>
      </c>
      <c r="G363" s="404"/>
    </row>
    <row r="364" spans="1:7" s="391" customFormat="1" ht="17.25" customHeight="1">
      <c r="A364" s="409">
        <v>21199</v>
      </c>
      <c r="B364" s="410" t="s">
        <v>679</v>
      </c>
      <c r="C364" s="411">
        <f>SUM('[36]分类汇总表'!BJ1696)/10</f>
        <v>4200</v>
      </c>
      <c r="D364" s="411">
        <v>4000</v>
      </c>
      <c r="E364" s="412">
        <f t="shared" si="18"/>
        <v>200</v>
      </c>
      <c r="F364" s="412">
        <f t="shared" si="20"/>
        <v>5</v>
      </c>
      <c r="G364" s="404"/>
    </row>
    <row r="365" spans="1:7" s="391" customFormat="1" ht="17.25" customHeight="1">
      <c r="A365" s="413">
        <v>2119901</v>
      </c>
      <c r="B365" s="414" t="s">
        <v>680</v>
      </c>
      <c r="C365" s="415">
        <f>SUM('[36]分类汇总表'!BJ1694:BJ1695)/10</f>
        <v>4200</v>
      </c>
      <c r="D365" s="415">
        <v>4000</v>
      </c>
      <c r="E365" s="416">
        <f t="shared" si="18"/>
        <v>200</v>
      </c>
      <c r="F365" s="416">
        <f t="shared" si="20"/>
        <v>5</v>
      </c>
      <c r="G365" s="404"/>
    </row>
    <row r="366" spans="1:7" s="391" customFormat="1" ht="17.25" customHeight="1">
      <c r="A366" s="405">
        <v>212</v>
      </c>
      <c r="B366" s="405" t="s">
        <v>681</v>
      </c>
      <c r="C366" s="406">
        <f>SUM('[36]分类汇总表'!BJ1766)/10</f>
        <v>103829.7</v>
      </c>
      <c r="D366" s="406">
        <v>99125.4</v>
      </c>
      <c r="E366" s="407">
        <f t="shared" si="18"/>
        <v>4704.300000000003</v>
      </c>
      <c r="F366" s="407">
        <f t="shared" si="20"/>
        <v>4.745806826504605</v>
      </c>
      <c r="G366" s="408"/>
    </row>
    <row r="367" spans="1:7" s="391" customFormat="1" ht="17.25" customHeight="1">
      <c r="A367" s="409">
        <v>21201</v>
      </c>
      <c r="B367" s="410" t="s">
        <v>682</v>
      </c>
      <c r="C367" s="411">
        <f>SUM('[36]分类汇总表'!BJ1716)/10</f>
        <v>10411.74</v>
      </c>
      <c r="D367" s="411">
        <v>11262.2</v>
      </c>
      <c r="E367" s="412">
        <f t="shared" si="18"/>
        <v>-850.460000000001</v>
      </c>
      <c r="F367" s="412">
        <f t="shared" si="20"/>
        <v>-7.551455310685313</v>
      </c>
      <c r="G367" s="404"/>
    </row>
    <row r="368" spans="1:7" s="391" customFormat="1" ht="17.25" customHeight="1">
      <c r="A368" s="413" t="s">
        <v>683</v>
      </c>
      <c r="B368" s="414" t="s">
        <v>684</v>
      </c>
      <c r="C368" s="415">
        <f>SUM('[36]分类汇总表'!BJ1698:BJ1707)/10</f>
        <v>5100.820000000001</v>
      </c>
      <c r="D368" s="415">
        <v>5782.8</v>
      </c>
      <c r="E368" s="416">
        <f t="shared" si="18"/>
        <v>-681.9799999999996</v>
      </c>
      <c r="F368" s="416">
        <f t="shared" si="20"/>
        <v>-11.793248945147667</v>
      </c>
      <c r="G368" s="404"/>
    </row>
    <row r="369" spans="1:7" s="391" customFormat="1" ht="17.25" customHeight="1">
      <c r="A369" s="413" t="s">
        <v>685</v>
      </c>
      <c r="B369" s="414" t="s">
        <v>686</v>
      </c>
      <c r="C369" s="415">
        <f>SUM('[36]分类汇总表'!BJ1708:BJ1713)/10</f>
        <v>2260.92</v>
      </c>
      <c r="D369" s="415">
        <v>1989.5</v>
      </c>
      <c r="E369" s="416">
        <f t="shared" si="18"/>
        <v>271.4200000000001</v>
      </c>
      <c r="F369" s="416">
        <f t="shared" si="20"/>
        <v>13.642623774817793</v>
      </c>
      <c r="G369" s="404"/>
    </row>
    <row r="370" spans="1:7" s="391" customFormat="1" ht="17.25" customHeight="1">
      <c r="A370" s="413">
        <v>2120104</v>
      </c>
      <c r="B370" s="414" t="s">
        <v>687</v>
      </c>
      <c r="C370" s="415">
        <f>SUM('[36]分类汇总表'!BJ1714)/10</f>
        <v>350</v>
      </c>
      <c r="D370" s="415">
        <v>490</v>
      </c>
      <c r="E370" s="416">
        <f t="shared" si="18"/>
        <v>-140</v>
      </c>
      <c r="F370" s="416">
        <f t="shared" si="20"/>
        <v>-28.57142857142857</v>
      </c>
      <c r="G370" s="404"/>
    </row>
    <row r="371" spans="1:7" s="391" customFormat="1" ht="17.25" customHeight="1">
      <c r="A371" s="413">
        <v>2120199</v>
      </c>
      <c r="B371" s="414" t="s">
        <v>688</v>
      </c>
      <c r="C371" s="415">
        <f>SUM('[36]分类汇总表'!BJ1715)/10</f>
        <v>2700</v>
      </c>
      <c r="D371" s="415">
        <v>3000</v>
      </c>
      <c r="E371" s="416">
        <f t="shared" si="18"/>
        <v>-300</v>
      </c>
      <c r="F371" s="416">
        <f t="shared" si="20"/>
        <v>-10</v>
      </c>
      <c r="G371" s="404"/>
    </row>
    <row r="372" spans="1:7" s="391" customFormat="1" ht="17.25" customHeight="1">
      <c r="A372" s="409">
        <v>21202</v>
      </c>
      <c r="B372" s="410" t="s">
        <v>689</v>
      </c>
      <c r="C372" s="411">
        <f>SUM('[36]分类汇总表'!BJ1720)/10</f>
        <v>243.58</v>
      </c>
      <c r="D372" s="411">
        <v>271.5</v>
      </c>
      <c r="E372" s="412">
        <f t="shared" si="18"/>
        <v>-27.919999999999987</v>
      </c>
      <c r="F372" s="412">
        <f t="shared" si="20"/>
        <v>-10.283609576427253</v>
      </c>
      <c r="G372" s="404"/>
    </row>
    <row r="373" spans="1:7" s="391" customFormat="1" ht="17.25" customHeight="1">
      <c r="A373" s="413" t="s">
        <v>690</v>
      </c>
      <c r="B373" s="414" t="s">
        <v>691</v>
      </c>
      <c r="C373" s="415">
        <f>SUM('[36]分类汇总表'!BJ1717:BJ1719)/10</f>
        <v>243.58</v>
      </c>
      <c r="D373" s="415">
        <v>271.5</v>
      </c>
      <c r="E373" s="416">
        <f t="shared" si="18"/>
        <v>-27.919999999999987</v>
      </c>
      <c r="F373" s="416">
        <f t="shared" si="20"/>
        <v>-10.283609576427253</v>
      </c>
      <c r="G373" s="404"/>
    </row>
    <row r="374" spans="1:7" s="391" customFormat="1" ht="17.25" customHeight="1">
      <c r="A374" s="409">
        <v>21203</v>
      </c>
      <c r="B374" s="410" t="s">
        <v>692</v>
      </c>
      <c r="C374" s="411">
        <f>SUM('[36]分类汇总表'!BJ1732)/10</f>
        <v>16268.920000000002</v>
      </c>
      <c r="D374" s="411">
        <v>15130</v>
      </c>
      <c r="E374" s="412">
        <f t="shared" si="18"/>
        <v>1138.920000000002</v>
      </c>
      <c r="F374" s="412">
        <f t="shared" si="20"/>
        <v>7.527561136814299</v>
      </c>
      <c r="G374" s="404"/>
    </row>
    <row r="375" spans="1:7" s="391" customFormat="1" ht="17.25" customHeight="1">
      <c r="A375" s="413" t="s">
        <v>693</v>
      </c>
      <c r="B375" s="414" t="s">
        <v>694</v>
      </c>
      <c r="C375" s="415">
        <f>SUM('[36]分类汇总表'!BJ1721:BJ1731)/10</f>
        <v>16268.919999999998</v>
      </c>
      <c r="D375" s="415">
        <v>15130</v>
      </c>
      <c r="E375" s="416">
        <f t="shared" si="18"/>
        <v>1138.9199999999983</v>
      </c>
      <c r="F375" s="416">
        <f t="shared" si="20"/>
        <v>7.527561136814256</v>
      </c>
      <c r="G375" s="404"/>
    </row>
    <row r="376" spans="1:7" s="391" customFormat="1" ht="17.25" customHeight="1">
      <c r="A376" s="409">
        <v>21205</v>
      </c>
      <c r="B376" s="410" t="s">
        <v>695</v>
      </c>
      <c r="C376" s="411">
        <f>SUM('[36]分类汇总表'!BJ1751)/10</f>
        <v>20571.89</v>
      </c>
      <c r="D376" s="411">
        <v>19095.1</v>
      </c>
      <c r="E376" s="416">
        <f t="shared" si="18"/>
        <v>1476.7900000000009</v>
      </c>
      <c r="F376" s="416">
        <f aca="true" t="shared" si="21" ref="F376:F399">C376/D376*100-100</f>
        <v>7.7338688983037684</v>
      </c>
      <c r="G376" s="404"/>
    </row>
    <row r="377" spans="1:7" s="391" customFormat="1" ht="17.25" customHeight="1">
      <c r="A377" s="413" t="s">
        <v>696</v>
      </c>
      <c r="B377" s="414" t="s">
        <v>697</v>
      </c>
      <c r="C377" s="415">
        <f>SUM('[36]分类汇总表'!BJ1733:BJ1750)/10</f>
        <v>20571.890000000003</v>
      </c>
      <c r="D377" s="415">
        <v>19095.1</v>
      </c>
      <c r="E377" s="416">
        <f t="shared" si="18"/>
        <v>1476.7900000000045</v>
      </c>
      <c r="F377" s="416">
        <f t="shared" si="21"/>
        <v>7.733868898303783</v>
      </c>
      <c r="G377" s="404"/>
    </row>
    <row r="378" spans="1:7" s="391" customFormat="1" ht="17.25" customHeight="1">
      <c r="A378" s="409">
        <v>21206</v>
      </c>
      <c r="B378" s="410" t="s">
        <v>698</v>
      </c>
      <c r="C378" s="411">
        <f>SUM('[36]分类汇总表'!BJ1760)/10</f>
        <v>3673.5699999999997</v>
      </c>
      <c r="D378" s="411">
        <v>2706.6</v>
      </c>
      <c r="E378" s="412">
        <f t="shared" si="18"/>
        <v>966.9699999999998</v>
      </c>
      <c r="F378" s="412">
        <f t="shared" si="21"/>
        <v>35.72637257075297</v>
      </c>
      <c r="G378" s="404"/>
    </row>
    <row r="379" spans="1:7" s="391" customFormat="1" ht="17.25" customHeight="1">
      <c r="A379" s="413">
        <v>2120601</v>
      </c>
      <c r="B379" s="414" t="s">
        <v>699</v>
      </c>
      <c r="C379" s="415">
        <f>SUM('[36]分类汇总表'!BJ1752:BJ1759)/10</f>
        <v>3673.5699999999997</v>
      </c>
      <c r="D379" s="415">
        <v>2706.6</v>
      </c>
      <c r="E379" s="416">
        <f t="shared" si="18"/>
        <v>966.9699999999998</v>
      </c>
      <c r="F379" s="416">
        <f t="shared" si="21"/>
        <v>35.72637257075297</v>
      </c>
      <c r="G379" s="404"/>
    </row>
    <row r="380" spans="1:7" s="391" customFormat="1" ht="17.25" customHeight="1">
      <c r="A380" s="409">
        <v>21299</v>
      </c>
      <c r="B380" s="410" t="s">
        <v>700</v>
      </c>
      <c r="C380" s="411">
        <f>SUM('[36]分类汇总表'!BJ1765)/10</f>
        <v>52660</v>
      </c>
      <c r="D380" s="411">
        <v>50660</v>
      </c>
      <c r="E380" s="412">
        <f t="shared" si="18"/>
        <v>2000</v>
      </c>
      <c r="F380" s="412">
        <f t="shared" si="21"/>
        <v>3.947887879984208</v>
      </c>
      <c r="G380" s="404"/>
    </row>
    <row r="381" spans="1:7" s="391" customFormat="1" ht="17.25" customHeight="1">
      <c r="A381" s="413">
        <v>2129999</v>
      </c>
      <c r="B381" s="414" t="s">
        <v>701</v>
      </c>
      <c r="C381" s="415">
        <f>SUM('[36]分类汇总表'!BJ1761:BJ1764)/10</f>
        <v>52660</v>
      </c>
      <c r="D381" s="415">
        <v>50660</v>
      </c>
      <c r="E381" s="416">
        <f t="shared" si="18"/>
        <v>2000</v>
      </c>
      <c r="F381" s="416">
        <f t="shared" si="21"/>
        <v>3.947887879984208</v>
      </c>
      <c r="G381" s="404"/>
    </row>
    <row r="382" spans="1:7" s="391" customFormat="1" ht="17.25" customHeight="1">
      <c r="A382" s="405">
        <v>213</v>
      </c>
      <c r="B382" s="405" t="s">
        <v>702</v>
      </c>
      <c r="C382" s="406">
        <f>SUM('[36]分类汇总表'!BJ1862)/10</f>
        <v>89062.79000000001</v>
      </c>
      <c r="D382" s="406">
        <v>86908.1</v>
      </c>
      <c r="E382" s="407">
        <f t="shared" si="18"/>
        <v>2154.6900000000023</v>
      </c>
      <c r="F382" s="407">
        <f t="shared" si="21"/>
        <v>2.4792740837735465</v>
      </c>
      <c r="G382" s="408"/>
    </row>
    <row r="383" spans="1:7" s="391" customFormat="1" ht="17.25" customHeight="1">
      <c r="A383" s="409">
        <v>21301</v>
      </c>
      <c r="B383" s="410" t="s">
        <v>703</v>
      </c>
      <c r="C383" s="411">
        <f>SUM('[36]分类汇总表'!BJ1811)/10</f>
        <v>5815.39</v>
      </c>
      <c r="D383" s="411">
        <v>6836.4</v>
      </c>
      <c r="E383" s="412">
        <f t="shared" si="18"/>
        <v>-1021.0099999999993</v>
      </c>
      <c r="F383" s="412">
        <f t="shared" si="21"/>
        <v>-14.934907261131585</v>
      </c>
      <c r="G383" s="404"/>
    </row>
    <row r="384" spans="1:7" s="391" customFormat="1" ht="17.25" customHeight="1">
      <c r="A384" s="413" t="s">
        <v>704</v>
      </c>
      <c r="B384" s="414" t="s">
        <v>705</v>
      </c>
      <c r="C384" s="415">
        <f>SUM('[36]分类汇总表'!BJ1767:BJ1770)/10</f>
        <v>1355.0700000000002</v>
      </c>
      <c r="D384" s="415">
        <v>1595.3</v>
      </c>
      <c r="E384" s="416">
        <f t="shared" si="18"/>
        <v>-240.2299999999998</v>
      </c>
      <c r="F384" s="416">
        <f t="shared" si="21"/>
        <v>-15.058609665893556</v>
      </c>
      <c r="G384" s="404"/>
    </row>
    <row r="385" spans="1:7" s="391" customFormat="1" ht="17.25" customHeight="1">
      <c r="A385" s="413" t="s">
        <v>706</v>
      </c>
      <c r="B385" s="414" t="s">
        <v>707</v>
      </c>
      <c r="C385" s="415">
        <f>SUM('[36]分类汇总表'!BJ1771:BJ1773)/10</f>
        <v>206</v>
      </c>
      <c r="D385" s="415">
        <v>61</v>
      </c>
      <c r="E385" s="416">
        <f t="shared" si="18"/>
        <v>145</v>
      </c>
      <c r="F385" s="416">
        <f t="shared" si="21"/>
        <v>237.7049180327869</v>
      </c>
      <c r="G385" s="404"/>
    </row>
    <row r="386" spans="1:7" s="391" customFormat="1" ht="17.25" customHeight="1">
      <c r="A386" s="413" t="s">
        <v>708</v>
      </c>
      <c r="B386" s="414" t="s">
        <v>709</v>
      </c>
      <c r="C386" s="415">
        <f>SUM('[36]分类汇总表'!BJ1774:BJ1786)/10</f>
        <v>2505.1200000000003</v>
      </c>
      <c r="D386" s="415">
        <v>2885.7</v>
      </c>
      <c r="E386" s="416">
        <f t="shared" si="18"/>
        <v>-380.5799999999995</v>
      </c>
      <c r="F386" s="416">
        <f t="shared" si="21"/>
        <v>-13.18848113109469</v>
      </c>
      <c r="G386" s="404"/>
    </row>
    <row r="387" spans="1:7" s="391" customFormat="1" ht="17.25" customHeight="1">
      <c r="A387" s="413" t="s">
        <v>710</v>
      </c>
      <c r="B387" s="414" t="s">
        <v>711</v>
      </c>
      <c r="C387" s="415">
        <f>SUM('[36]分类汇总表'!BJ1787:BJ1792)/10</f>
        <v>194.3</v>
      </c>
      <c r="D387" s="415">
        <v>175</v>
      </c>
      <c r="E387" s="416">
        <f t="shared" si="18"/>
        <v>19.30000000000001</v>
      </c>
      <c r="F387" s="416">
        <f t="shared" si="21"/>
        <v>11.02857142857144</v>
      </c>
      <c r="G387" s="404"/>
    </row>
    <row r="388" spans="1:7" s="391" customFormat="1" ht="17.25" customHeight="1">
      <c r="A388" s="413" t="s">
        <v>712</v>
      </c>
      <c r="B388" s="414" t="s">
        <v>713</v>
      </c>
      <c r="C388" s="415">
        <f>SUM('[36]分类汇总表'!BJ1793)/10</f>
        <v>72.9</v>
      </c>
      <c r="D388" s="415">
        <v>76.9</v>
      </c>
      <c r="E388" s="416">
        <f t="shared" si="18"/>
        <v>-4</v>
      </c>
      <c r="F388" s="416">
        <f t="shared" si="21"/>
        <v>-5.201560468140443</v>
      </c>
      <c r="G388" s="404"/>
    </row>
    <row r="389" spans="1:7" s="391" customFormat="1" ht="17.25" customHeight="1">
      <c r="A389" s="413" t="s">
        <v>714</v>
      </c>
      <c r="B389" s="414" t="s">
        <v>715</v>
      </c>
      <c r="C389" s="415"/>
      <c r="D389" s="415">
        <v>3.9</v>
      </c>
      <c r="E389" s="416">
        <f aca="true" t="shared" si="22" ref="E389:E452">C389-D389</f>
        <v>-3.9</v>
      </c>
      <c r="F389" s="416">
        <f t="shared" si="21"/>
        <v>-100</v>
      </c>
      <c r="G389" s="404"/>
    </row>
    <row r="390" spans="1:7" s="391" customFormat="1" ht="17.25" customHeight="1">
      <c r="A390" s="413" t="s">
        <v>716</v>
      </c>
      <c r="B390" s="414" t="s">
        <v>717</v>
      </c>
      <c r="C390" s="415">
        <f>SUM('[36]分类汇总表'!BJ1794)/10</f>
        <v>43.3</v>
      </c>
      <c r="D390" s="415">
        <v>43.3</v>
      </c>
      <c r="E390" s="416">
        <f t="shared" si="22"/>
        <v>0</v>
      </c>
      <c r="F390" s="416">
        <f t="shared" si="21"/>
        <v>0</v>
      </c>
      <c r="G390" s="404"/>
    </row>
    <row r="391" spans="1:7" s="391" customFormat="1" ht="17.25" customHeight="1">
      <c r="A391" s="413" t="s">
        <v>718</v>
      </c>
      <c r="B391" s="414" t="s">
        <v>719</v>
      </c>
      <c r="C391" s="415">
        <f>SUM('[36]分类汇总表'!BJ1795)/10</f>
        <v>19.28</v>
      </c>
      <c r="D391" s="415">
        <v>24.3</v>
      </c>
      <c r="E391" s="416">
        <f t="shared" si="22"/>
        <v>-5.02</v>
      </c>
      <c r="F391" s="416">
        <f t="shared" si="21"/>
        <v>-20.658436213991777</v>
      </c>
      <c r="G391" s="404"/>
    </row>
    <row r="392" spans="1:7" s="391" customFormat="1" ht="17.25" customHeight="1">
      <c r="A392" s="413" t="s">
        <v>720</v>
      </c>
      <c r="B392" s="414" t="s">
        <v>721</v>
      </c>
      <c r="C392" s="415">
        <f>SUM('[36]分类汇总表'!BJ1796:BJ1800)/10</f>
        <v>135.52</v>
      </c>
      <c r="D392" s="415">
        <v>137.3</v>
      </c>
      <c r="E392" s="416">
        <f t="shared" si="22"/>
        <v>-1.7800000000000011</v>
      </c>
      <c r="F392" s="416">
        <f t="shared" si="21"/>
        <v>-1.296431172614703</v>
      </c>
      <c r="G392" s="404"/>
    </row>
    <row r="393" spans="1:7" s="391" customFormat="1" ht="17.25" customHeight="1">
      <c r="A393" s="413" t="s">
        <v>722</v>
      </c>
      <c r="B393" s="414" t="s">
        <v>723</v>
      </c>
      <c r="C393" s="415">
        <f>SUM('[36]分类汇总表'!BJ1801)/10</f>
        <v>20</v>
      </c>
      <c r="D393" s="415">
        <v>20</v>
      </c>
      <c r="E393" s="416">
        <f t="shared" si="22"/>
        <v>0</v>
      </c>
      <c r="F393" s="416">
        <f t="shared" si="21"/>
        <v>0</v>
      </c>
      <c r="G393" s="404"/>
    </row>
    <row r="394" spans="1:7" s="391" customFormat="1" ht="17.25" customHeight="1">
      <c r="A394" s="413">
        <v>2130142</v>
      </c>
      <c r="B394" s="414" t="s">
        <v>724</v>
      </c>
      <c r="C394" s="415">
        <f>SUM('[36]分类汇总表'!BJ1802)/10</f>
        <v>730</v>
      </c>
      <c r="D394" s="415">
        <v>730</v>
      </c>
      <c r="E394" s="416">
        <f t="shared" si="22"/>
        <v>0</v>
      </c>
      <c r="F394" s="416">
        <f t="shared" si="21"/>
        <v>0</v>
      </c>
      <c r="G394" s="404"/>
    </row>
    <row r="395" spans="1:7" s="391" customFormat="1" ht="17.25" customHeight="1">
      <c r="A395" s="413" t="s">
        <v>725</v>
      </c>
      <c r="B395" s="414" t="s">
        <v>726</v>
      </c>
      <c r="C395" s="415">
        <f>SUM('[36]分类汇总表'!BJ1803:BJ1810)/10</f>
        <v>533.9</v>
      </c>
      <c r="D395" s="415">
        <v>1083.7</v>
      </c>
      <c r="E395" s="416">
        <f t="shared" si="22"/>
        <v>-549.8000000000001</v>
      </c>
      <c r="F395" s="416">
        <f t="shared" si="21"/>
        <v>-50.733597859186126</v>
      </c>
      <c r="G395" s="404"/>
    </row>
    <row r="396" spans="1:7" s="391" customFormat="1" ht="17.25" customHeight="1">
      <c r="A396" s="409">
        <v>21302</v>
      </c>
      <c r="B396" s="410" t="s">
        <v>727</v>
      </c>
      <c r="C396" s="411">
        <f>SUM('[36]分类汇总表'!BJ1832)/10</f>
        <v>1711.9900000000002</v>
      </c>
      <c r="D396" s="411">
        <v>1663.6</v>
      </c>
      <c r="E396" s="412">
        <f t="shared" si="22"/>
        <v>48.39000000000033</v>
      </c>
      <c r="F396" s="412">
        <f t="shared" si="21"/>
        <v>2.9087521038711373</v>
      </c>
      <c r="G396" s="404"/>
    </row>
    <row r="397" spans="1:7" s="391" customFormat="1" ht="17.25" customHeight="1">
      <c r="A397" s="413" t="s">
        <v>728</v>
      </c>
      <c r="B397" s="414" t="s">
        <v>729</v>
      </c>
      <c r="C397" s="415">
        <f>SUM('[36]分类汇总表'!BJ1812:BJ1813)/10</f>
        <v>458.7099999999999</v>
      </c>
      <c r="D397" s="415">
        <v>489.9</v>
      </c>
      <c r="E397" s="416">
        <f t="shared" si="22"/>
        <v>-31.190000000000055</v>
      </c>
      <c r="F397" s="416">
        <f t="shared" si="21"/>
        <v>-6.366605429679538</v>
      </c>
      <c r="G397" s="404"/>
    </row>
    <row r="398" spans="1:7" s="391" customFormat="1" ht="17.25" customHeight="1">
      <c r="A398" s="413" t="s">
        <v>730</v>
      </c>
      <c r="B398" s="414" t="s">
        <v>731</v>
      </c>
      <c r="C398" s="415">
        <f>SUM('[36]分类汇总表'!BJ1814)/10</f>
        <v>21</v>
      </c>
      <c r="D398" s="415">
        <v>35</v>
      </c>
      <c r="E398" s="416">
        <f t="shared" si="22"/>
        <v>-14</v>
      </c>
      <c r="F398" s="416">
        <f t="shared" si="21"/>
        <v>-40</v>
      </c>
      <c r="G398" s="404"/>
    </row>
    <row r="399" spans="1:7" s="391" customFormat="1" ht="17.25" customHeight="1">
      <c r="A399" s="413" t="s">
        <v>732</v>
      </c>
      <c r="B399" s="414" t="s">
        <v>733</v>
      </c>
      <c r="C399" s="415">
        <f>SUM('[36]分类汇总表'!BJ1815:BJ1821)/10</f>
        <v>883.7299999999999</v>
      </c>
      <c r="D399" s="415">
        <v>902.3</v>
      </c>
      <c r="E399" s="416">
        <f t="shared" si="22"/>
        <v>-18.57000000000005</v>
      </c>
      <c r="F399" s="416">
        <f t="shared" si="21"/>
        <v>-2.058073811370946</v>
      </c>
      <c r="G399" s="404"/>
    </row>
    <row r="400" spans="1:7" s="391" customFormat="1" ht="17.25" customHeight="1">
      <c r="A400" s="413">
        <v>2130207</v>
      </c>
      <c r="B400" s="414" t="s">
        <v>734</v>
      </c>
      <c r="C400" s="415">
        <f>SUM('[36]分类汇总表'!BJ1822)/10</f>
        <v>50</v>
      </c>
      <c r="D400" s="415"/>
      <c r="E400" s="416">
        <f t="shared" si="22"/>
        <v>50</v>
      </c>
      <c r="F400" s="416"/>
      <c r="G400" s="404"/>
    </row>
    <row r="401" spans="1:7" s="391" customFormat="1" ht="17.25" customHeight="1">
      <c r="A401" s="413" t="s">
        <v>735</v>
      </c>
      <c r="B401" s="414" t="s">
        <v>736</v>
      </c>
      <c r="C401" s="415">
        <f>SUM('[36]分类汇总表'!BJ1823)/10</f>
        <v>58</v>
      </c>
      <c r="D401" s="415">
        <v>61</v>
      </c>
      <c r="E401" s="416">
        <f t="shared" si="22"/>
        <v>-3</v>
      </c>
      <c r="F401" s="416">
        <f aca="true" t="shared" si="23" ref="F401:F415">C401/D401*100-100</f>
        <v>-4.918032786885249</v>
      </c>
      <c r="G401" s="404"/>
    </row>
    <row r="402" spans="1:7" s="391" customFormat="1" ht="17.25" customHeight="1">
      <c r="A402" s="413" t="s">
        <v>737</v>
      </c>
      <c r="B402" s="414" t="s">
        <v>738</v>
      </c>
      <c r="C402" s="415">
        <f>SUM('[36]分类汇总表'!BJ1824)/10</f>
        <v>20</v>
      </c>
      <c r="D402" s="415">
        <v>22.5</v>
      </c>
      <c r="E402" s="416">
        <f t="shared" si="22"/>
        <v>-2.5</v>
      </c>
      <c r="F402" s="416">
        <f t="shared" si="23"/>
        <v>-11.111111111111114</v>
      </c>
      <c r="G402" s="404"/>
    </row>
    <row r="403" spans="1:7" s="391" customFormat="1" ht="17.25" customHeight="1">
      <c r="A403" s="413" t="s">
        <v>739</v>
      </c>
      <c r="B403" s="414" t="s">
        <v>740</v>
      </c>
      <c r="C403" s="415">
        <f>SUM('[36]分类汇总表'!BJ1825)/10</f>
        <v>75</v>
      </c>
      <c r="D403" s="415">
        <v>75</v>
      </c>
      <c r="E403" s="416">
        <f t="shared" si="22"/>
        <v>0</v>
      </c>
      <c r="F403" s="416">
        <f t="shared" si="23"/>
        <v>0</v>
      </c>
      <c r="G403" s="404"/>
    </row>
    <row r="404" spans="1:7" s="391" customFormat="1" ht="17.25" customHeight="1">
      <c r="A404" s="413" t="s">
        <v>741</v>
      </c>
      <c r="B404" s="414" t="s">
        <v>742</v>
      </c>
      <c r="C404" s="415">
        <f>SUM('[36]分类汇总表'!BJ1827:BJ1831)/10</f>
        <v>143.76999999999998</v>
      </c>
      <c r="D404" s="415">
        <v>77.9</v>
      </c>
      <c r="E404" s="416">
        <f t="shared" si="22"/>
        <v>65.86999999999998</v>
      </c>
      <c r="F404" s="416">
        <f t="shared" si="23"/>
        <v>84.55712451861356</v>
      </c>
      <c r="G404" s="404"/>
    </row>
    <row r="405" spans="1:7" s="391" customFormat="1" ht="17.25" customHeight="1">
      <c r="A405" s="409">
        <v>21303</v>
      </c>
      <c r="B405" s="410" t="s">
        <v>743</v>
      </c>
      <c r="C405" s="411">
        <f>SUM('[36]分类汇总表'!BJ1853)/10</f>
        <v>44988.69</v>
      </c>
      <c r="D405" s="411">
        <v>44624</v>
      </c>
      <c r="E405" s="412">
        <f t="shared" si="22"/>
        <v>364.6900000000023</v>
      </c>
      <c r="F405" s="412">
        <f t="shared" si="23"/>
        <v>0.8172508067407733</v>
      </c>
      <c r="G405" s="404"/>
    </row>
    <row r="406" spans="1:7" s="391" customFormat="1" ht="17.25" customHeight="1">
      <c r="A406" s="413" t="s">
        <v>744</v>
      </c>
      <c r="B406" s="414" t="s">
        <v>745</v>
      </c>
      <c r="C406" s="415">
        <f>SUM('[36]分类汇总表'!BJ1833)/10</f>
        <v>404.8</v>
      </c>
      <c r="D406" s="415">
        <v>420</v>
      </c>
      <c r="E406" s="416">
        <f t="shared" si="22"/>
        <v>-15.199999999999989</v>
      </c>
      <c r="F406" s="416">
        <f t="shared" si="23"/>
        <v>-3.6190476190476204</v>
      </c>
      <c r="G406" s="404"/>
    </row>
    <row r="407" spans="1:7" s="391" customFormat="1" ht="17.25" customHeight="1">
      <c r="A407" s="413" t="s">
        <v>746</v>
      </c>
      <c r="B407" s="414" t="s">
        <v>747</v>
      </c>
      <c r="C407" s="415">
        <f>SUM('[36]分类汇总表'!BJ1834)/10</f>
        <v>55</v>
      </c>
      <c r="D407" s="415">
        <v>71.2</v>
      </c>
      <c r="E407" s="416">
        <f t="shared" si="22"/>
        <v>-16.200000000000003</v>
      </c>
      <c r="F407" s="416">
        <f t="shared" si="23"/>
        <v>-22.752808988764045</v>
      </c>
      <c r="G407" s="404"/>
    </row>
    <row r="408" spans="1:7" s="391" customFormat="1" ht="17.25" customHeight="1">
      <c r="A408" s="413" t="s">
        <v>748</v>
      </c>
      <c r="B408" s="414" t="s">
        <v>749</v>
      </c>
      <c r="C408" s="415">
        <f>SUM('[36]分类汇总表'!BJ1835:BJ1839)/10</f>
        <v>3827.96</v>
      </c>
      <c r="D408" s="415">
        <v>4415.5</v>
      </c>
      <c r="E408" s="416">
        <f t="shared" si="22"/>
        <v>-587.54</v>
      </c>
      <c r="F408" s="416">
        <f t="shared" si="23"/>
        <v>-13.306307326463596</v>
      </c>
      <c r="G408" s="404"/>
    </row>
    <row r="409" spans="1:7" s="391" customFormat="1" ht="17.25" customHeight="1">
      <c r="A409" s="413" t="s">
        <v>750</v>
      </c>
      <c r="B409" s="414" t="s">
        <v>751</v>
      </c>
      <c r="C409" s="415">
        <f>SUM('[36]分类汇总表'!BJ1840)/10</f>
        <v>6</v>
      </c>
      <c r="D409" s="415">
        <v>50</v>
      </c>
      <c r="E409" s="416">
        <f t="shared" si="22"/>
        <v>-44</v>
      </c>
      <c r="F409" s="416">
        <f t="shared" si="23"/>
        <v>-88</v>
      </c>
      <c r="G409" s="404"/>
    </row>
    <row r="410" spans="1:7" s="391" customFormat="1" ht="17.25" customHeight="1">
      <c r="A410" s="413" t="s">
        <v>752</v>
      </c>
      <c r="B410" s="414" t="s">
        <v>753</v>
      </c>
      <c r="C410" s="415">
        <f>SUM('[36]分类汇总表'!BJ1841:BJ1842)/10</f>
        <v>735.18</v>
      </c>
      <c r="D410" s="415">
        <v>758.2</v>
      </c>
      <c r="E410" s="416">
        <f t="shared" si="22"/>
        <v>-23.020000000000095</v>
      </c>
      <c r="F410" s="416">
        <f t="shared" si="23"/>
        <v>-3.036138222104995</v>
      </c>
      <c r="G410" s="404"/>
    </row>
    <row r="411" spans="1:7" s="391" customFormat="1" ht="17.25" customHeight="1">
      <c r="A411" s="413" t="s">
        <v>754</v>
      </c>
      <c r="B411" s="414" t="s">
        <v>755</v>
      </c>
      <c r="C411" s="415">
        <f>SUM('[36]分类汇总表'!BJ1843)/10</f>
        <v>472.53999999999996</v>
      </c>
      <c r="D411" s="415">
        <v>196.6</v>
      </c>
      <c r="E411" s="416">
        <f t="shared" si="22"/>
        <v>275.93999999999994</v>
      </c>
      <c r="F411" s="416">
        <f t="shared" si="23"/>
        <v>140.3560528992879</v>
      </c>
      <c r="G411" s="404"/>
    </row>
    <row r="412" spans="1:7" s="391" customFormat="1" ht="17.25" customHeight="1">
      <c r="A412" s="413" t="s">
        <v>756</v>
      </c>
      <c r="B412" s="414" t="s">
        <v>757</v>
      </c>
      <c r="C412" s="415">
        <f>SUM('[36]分类汇总表'!BJ1844:BJ1845)/10</f>
        <v>321.05</v>
      </c>
      <c r="D412" s="415">
        <v>372.3</v>
      </c>
      <c r="E412" s="416">
        <f t="shared" si="22"/>
        <v>-51.25</v>
      </c>
      <c r="F412" s="416">
        <f t="shared" si="23"/>
        <v>-13.765780284716627</v>
      </c>
      <c r="G412" s="404"/>
    </row>
    <row r="413" spans="1:7" s="391" customFormat="1" ht="17.25" customHeight="1">
      <c r="A413" s="413" t="s">
        <v>758</v>
      </c>
      <c r="B413" s="414" t="s">
        <v>759</v>
      </c>
      <c r="C413" s="415">
        <f>SUM('[36]分类汇总表'!BJ1846)/10</f>
        <v>143.6</v>
      </c>
      <c r="D413" s="415">
        <v>143.6</v>
      </c>
      <c r="E413" s="416">
        <f t="shared" si="22"/>
        <v>0</v>
      </c>
      <c r="F413" s="416">
        <f t="shared" si="23"/>
        <v>0</v>
      </c>
      <c r="G413" s="404"/>
    </row>
    <row r="414" spans="1:7" s="391" customFormat="1" ht="17.25" customHeight="1">
      <c r="A414" s="413">
        <v>2130316</v>
      </c>
      <c r="B414" s="414" t="s">
        <v>760</v>
      </c>
      <c r="C414" s="415">
        <f>SUM('[36]分类汇总表'!BJ1847)/10</f>
        <v>12000</v>
      </c>
      <c r="D414" s="415">
        <v>12000</v>
      </c>
      <c r="E414" s="416">
        <f t="shared" si="22"/>
        <v>0</v>
      </c>
      <c r="F414" s="416">
        <f t="shared" si="23"/>
        <v>0</v>
      </c>
      <c r="G414" s="404"/>
    </row>
    <row r="415" spans="1:7" s="391" customFormat="1" ht="17.25" customHeight="1">
      <c r="A415" s="413">
        <v>2130321</v>
      </c>
      <c r="B415" s="414" t="s">
        <v>761</v>
      </c>
      <c r="C415" s="415">
        <f>SUM('[36]分类汇总表'!BJ1848)/10</f>
        <v>8</v>
      </c>
      <c r="D415" s="415">
        <v>8</v>
      </c>
      <c r="E415" s="416">
        <f t="shared" si="22"/>
        <v>0</v>
      </c>
      <c r="F415" s="416">
        <f t="shared" si="23"/>
        <v>0</v>
      </c>
      <c r="G415" s="404"/>
    </row>
    <row r="416" spans="1:7" s="391" customFormat="1" ht="17.25" customHeight="1">
      <c r="A416" s="413">
        <v>2130332</v>
      </c>
      <c r="B416" s="414" t="s">
        <v>762</v>
      </c>
      <c r="C416" s="415">
        <f>SUM('[36]分类汇总表'!BJ1849)/10</f>
        <v>222</v>
      </c>
      <c r="D416" s="415"/>
      <c r="E416" s="416">
        <f t="shared" si="22"/>
        <v>222</v>
      </c>
      <c r="F416" s="416"/>
      <c r="G416" s="404"/>
    </row>
    <row r="417" spans="1:7" s="391" customFormat="1" ht="17.25" customHeight="1">
      <c r="A417" s="413" t="s">
        <v>763</v>
      </c>
      <c r="B417" s="414" t="s">
        <v>764</v>
      </c>
      <c r="C417" s="415">
        <f>SUM('[36]分类汇总表'!BJ1850)/10</f>
        <v>69.7</v>
      </c>
      <c r="D417" s="415">
        <v>89.2</v>
      </c>
      <c r="E417" s="416">
        <f t="shared" si="22"/>
        <v>-19.5</v>
      </c>
      <c r="F417" s="416">
        <f aca="true" t="shared" si="24" ref="F417:F448">C417/D417*100-100</f>
        <v>-21.860986547085204</v>
      </c>
      <c r="G417" s="404"/>
    </row>
    <row r="418" spans="1:7" s="391" customFormat="1" ht="17.25" customHeight="1">
      <c r="A418" s="413">
        <v>2130399</v>
      </c>
      <c r="B418" s="414" t="s">
        <v>765</v>
      </c>
      <c r="C418" s="415">
        <f>SUM('[36]分类汇总表'!BJ1851:BJ1852)/10</f>
        <v>26722.859999999997</v>
      </c>
      <c r="D418" s="415">
        <v>26099.5</v>
      </c>
      <c r="E418" s="416">
        <f t="shared" si="22"/>
        <v>623.359999999997</v>
      </c>
      <c r="F418" s="416">
        <f t="shared" si="24"/>
        <v>2.388398245177086</v>
      </c>
      <c r="G418" s="404"/>
    </row>
    <row r="419" spans="1:7" s="391" customFormat="1" ht="17.25" customHeight="1">
      <c r="A419" s="409">
        <v>21306</v>
      </c>
      <c r="B419" s="410" t="s">
        <v>766</v>
      </c>
      <c r="C419" s="411">
        <f>SUM('[36]分类汇总表'!BJ1856)/10</f>
        <v>286.71999999999997</v>
      </c>
      <c r="D419" s="411">
        <v>317</v>
      </c>
      <c r="E419" s="412">
        <f t="shared" si="22"/>
        <v>-30.28000000000003</v>
      </c>
      <c r="F419" s="412">
        <f t="shared" si="24"/>
        <v>-9.552050473186128</v>
      </c>
      <c r="G419" s="404"/>
    </row>
    <row r="420" spans="1:7" s="391" customFormat="1" ht="17.25" customHeight="1">
      <c r="A420" s="413" t="s">
        <v>767</v>
      </c>
      <c r="B420" s="414" t="s">
        <v>768</v>
      </c>
      <c r="C420" s="415">
        <f>SUM('[36]分类汇总表'!BJ1854)/10</f>
        <v>172.72</v>
      </c>
      <c r="D420" s="415">
        <v>203</v>
      </c>
      <c r="E420" s="416">
        <f t="shared" si="22"/>
        <v>-30.28</v>
      </c>
      <c r="F420" s="416">
        <f t="shared" si="24"/>
        <v>-14.916256157635459</v>
      </c>
      <c r="G420" s="404"/>
    </row>
    <row r="421" spans="1:7" s="391" customFormat="1" ht="17.25" customHeight="1">
      <c r="A421" s="413" t="s">
        <v>769</v>
      </c>
      <c r="B421" s="414" t="s">
        <v>770</v>
      </c>
      <c r="C421" s="415">
        <f>SUM('[36]分类汇总表'!BJ1855)/10</f>
        <v>114</v>
      </c>
      <c r="D421" s="415">
        <v>114</v>
      </c>
      <c r="E421" s="416">
        <f t="shared" si="22"/>
        <v>0</v>
      </c>
      <c r="F421" s="416">
        <f t="shared" si="24"/>
        <v>0</v>
      </c>
      <c r="G421" s="404"/>
    </row>
    <row r="422" spans="1:7" s="391" customFormat="1" ht="17.25" customHeight="1">
      <c r="A422" s="409">
        <v>21399</v>
      </c>
      <c r="B422" s="410" t="s">
        <v>771</v>
      </c>
      <c r="C422" s="411">
        <f>SUM('[36]分类汇总表'!BJ1861)/10</f>
        <v>36260</v>
      </c>
      <c r="D422" s="411">
        <v>33467.2</v>
      </c>
      <c r="E422" s="412">
        <f t="shared" si="22"/>
        <v>2792.800000000003</v>
      </c>
      <c r="F422" s="412">
        <f t="shared" si="24"/>
        <v>8.344886934072775</v>
      </c>
      <c r="G422" s="404"/>
    </row>
    <row r="423" spans="1:7" s="391" customFormat="1" ht="17.25" customHeight="1">
      <c r="A423" s="413">
        <v>2139999</v>
      </c>
      <c r="B423" s="414" t="s">
        <v>772</v>
      </c>
      <c r="C423" s="415">
        <f>SUM('[36]分类汇总表'!BJ1857:BJ1860)/10</f>
        <v>36260</v>
      </c>
      <c r="D423" s="415">
        <v>33467.2</v>
      </c>
      <c r="E423" s="416">
        <f t="shared" si="22"/>
        <v>2792.800000000003</v>
      </c>
      <c r="F423" s="416">
        <f t="shared" si="24"/>
        <v>8.344886934072775</v>
      </c>
      <c r="G423" s="404"/>
    </row>
    <row r="424" spans="1:7" s="391" customFormat="1" ht="17.25" customHeight="1">
      <c r="A424" s="405">
        <v>214</v>
      </c>
      <c r="B424" s="405" t="s">
        <v>773</v>
      </c>
      <c r="C424" s="406">
        <f>SUM('[36]分类汇总表'!BJ1880)/10</f>
        <v>8106.860000000001</v>
      </c>
      <c r="D424" s="406">
        <v>13817.8</v>
      </c>
      <c r="E424" s="407">
        <f t="shared" si="22"/>
        <v>-5710.939999999999</v>
      </c>
      <c r="F424" s="407">
        <f t="shared" si="24"/>
        <v>-41.330313074440205</v>
      </c>
      <c r="G424" s="408"/>
    </row>
    <row r="425" spans="1:7" s="391" customFormat="1" ht="17.25" customHeight="1">
      <c r="A425" s="409">
        <v>21401</v>
      </c>
      <c r="B425" s="410" t="s">
        <v>774</v>
      </c>
      <c r="C425" s="411">
        <f>SUM('[36]分类汇总表'!BJ1874)/10</f>
        <v>7538.860000000001</v>
      </c>
      <c r="D425" s="411">
        <v>6509.8</v>
      </c>
      <c r="E425" s="412">
        <f t="shared" si="22"/>
        <v>1029.0600000000004</v>
      </c>
      <c r="F425" s="412">
        <f t="shared" si="24"/>
        <v>15.807858920396953</v>
      </c>
      <c r="G425" s="404"/>
    </row>
    <row r="426" spans="1:7" s="391" customFormat="1" ht="17.25" customHeight="1">
      <c r="A426" s="413" t="s">
        <v>775</v>
      </c>
      <c r="B426" s="414" t="s">
        <v>776</v>
      </c>
      <c r="C426" s="415">
        <f>SUM('[36]分类汇总表'!BJ1863:BJ1864)/10</f>
        <v>1112.21</v>
      </c>
      <c r="D426" s="415">
        <v>1189.3</v>
      </c>
      <c r="E426" s="416">
        <f t="shared" si="22"/>
        <v>-77.08999999999992</v>
      </c>
      <c r="F426" s="416">
        <f t="shared" si="24"/>
        <v>-6.481964180610433</v>
      </c>
      <c r="G426" s="404"/>
    </row>
    <row r="427" spans="1:7" s="391" customFormat="1" ht="17.25" customHeight="1">
      <c r="A427" s="413" t="s">
        <v>777</v>
      </c>
      <c r="B427" s="414" t="s">
        <v>778</v>
      </c>
      <c r="C427" s="415">
        <f>SUM('[36]分类汇总表'!BJ1865)/10</f>
        <v>268</v>
      </c>
      <c r="D427" s="415">
        <v>268</v>
      </c>
      <c r="E427" s="416">
        <f t="shared" si="22"/>
        <v>0</v>
      </c>
      <c r="F427" s="416">
        <f t="shared" si="24"/>
        <v>0</v>
      </c>
      <c r="G427" s="404"/>
    </row>
    <row r="428" spans="1:7" s="391" customFormat="1" ht="17.25" customHeight="1">
      <c r="A428" s="413" t="s">
        <v>779</v>
      </c>
      <c r="B428" s="414" t="s">
        <v>780</v>
      </c>
      <c r="C428" s="415">
        <f>SUM('[36]分类汇总表'!BJ1866)/10</f>
        <v>566</v>
      </c>
      <c r="D428" s="415">
        <v>566</v>
      </c>
      <c r="E428" s="416">
        <f t="shared" si="22"/>
        <v>0</v>
      </c>
      <c r="F428" s="416">
        <f t="shared" si="24"/>
        <v>0</v>
      </c>
      <c r="G428" s="404"/>
    </row>
    <row r="429" spans="1:7" s="391" customFormat="1" ht="17.25" customHeight="1">
      <c r="A429" s="413" t="s">
        <v>781</v>
      </c>
      <c r="B429" s="414" t="s">
        <v>782</v>
      </c>
      <c r="C429" s="415">
        <f>SUM('[36]分类汇总表'!BJ1867:BJ1873)/10</f>
        <v>5592.65</v>
      </c>
      <c r="D429" s="415">
        <v>4486.5</v>
      </c>
      <c r="E429" s="416">
        <f t="shared" si="22"/>
        <v>1106.1499999999996</v>
      </c>
      <c r="F429" s="416">
        <f t="shared" si="24"/>
        <v>24.655076340131487</v>
      </c>
      <c r="G429" s="404"/>
    </row>
    <row r="430" spans="1:7" s="391" customFormat="1" ht="17.25" customHeight="1">
      <c r="A430" s="409">
        <v>21405</v>
      </c>
      <c r="B430" s="410" t="s">
        <v>783</v>
      </c>
      <c r="C430" s="411">
        <f>SUM('[36]分类汇总表'!BJ1876)/10</f>
        <v>8</v>
      </c>
      <c r="D430" s="411">
        <v>8</v>
      </c>
      <c r="E430" s="416">
        <f t="shared" si="22"/>
        <v>0</v>
      </c>
      <c r="F430" s="416">
        <f t="shared" si="24"/>
        <v>0</v>
      </c>
      <c r="G430" s="404"/>
    </row>
    <row r="431" spans="1:7" s="391" customFormat="1" ht="17.25" customHeight="1">
      <c r="A431" s="413">
        <v>2140505</v>
      </c>
      <c r="B431" s="414" t="s">
        <v>784</v>
      </c>
      <c r="C431" s="415">
        <f>SUM('[36]分类汇总表'!BJ1875)/10</f>
        <v>8</v>
      </c>
      <c r="D431" s="415">
        <v>8</v>
      </c>
      <c r="E431" s="416">
        <f t="shared" si="22"/>
        <v>0</v>
      </c>
      <c r="F431" s="416">
        <f t="shared" si="24"/>
        <v>0</v>
      </c>
      <c r="G431" s="404"/>
    </row>
    <row r="432" spans="1:7" s="391" customFormat="1" ht="17.25" customHeight="1">
      <c r="A432" s="409">
        <v>21499</v>
      </c>
      <c r="B432" s="410" t="s">
        <v>785</v>
      </c>
      <c r="C432" s="411">
        <f>SUM('[36]分类汇总表'!BJ1879)/10</f>
        <v>560</v>
      </c>
      <c r="D432" s="411">
        <v>7300</v>
      </c>
      <c r="E432" s="412">
        <f t="shared" si="22"/>
        <v>-6740</v>
      </c>
      <c r="F432" s="412">
        <f t="shared" si="24"/>
        <v>-92.32876712328768</v>
      </c>
      <c r="G432" s="404"/>
    </row>
    <row r="433" spans="1:7" s="391" customFormat="1" ht="17.25" customHeight="1">
      <c r="A433" s="413">
        <v>2149999</v>
      </c>
      <c r="B433" s="414" t="s">
        <v>786</v>
      </c>
      <c r="C433" s="415">
        <f>SUM('[36]分类汇总表'!BJ1877:BJ1878)/10</f>
        <v>560</v>
      </c>
      <c r="D433" s="415">
        <v>7300</v>
      </c>
      <c r="E433" s="416">
        <f t="shared" si="22"/>
        <v>-6740</v>
      </c>
      <c r="F433" s="416">
        <f t="shared" si="24"/>
        <v>-92.32876712328768</v>
      </c>
      <c r="G433" s="404" t="s">
        <v>787</v>
      </c>
    </row>
    <row r="434" spans="1:7" s="391" customFormat="1" ht="17.25" customHeight="1">
      <c r="A434" s="405">
        <v>215</v>
      </c>
      <c r="B434" s="405" t="s">
        <v>788</v>
      </c>
      <c r="C434" s="406">
        <f>SUM('[36]分类汇总表'!BJ1928)/10</f>
        <v>231687.91</v>
      </c>
      <c r="D434" s="406">
        <v>225922.4</v>
      </c>
      <c r="E434" s="407">
        <f t="shared" si="22"/>
        <v>5765.510000000009</v>
      </c>
      <c r="F434" s="407">
        <f t="shared" si="24"/>
        <v>2.5519868769099645</v>
      </c>
      <c r="G434" s="408"/>
    </row>
    <row r="435" spans="1:7" s="391" customFormat="1" ht="17.25" customHeight="1">
      <c r="A435" s="409">
        <v>21502</v>
      </c>
      <c r="B435" s="410" t="s">
        <v>789</v>
      </c>
      <c r="C435" s="411">
        <f>SUM('[36]分类汇总表'!BJ1882)/10</f>
        <v>254.43</v>
      </c>
      <c r="D435" s="411">
        <v>286.1</v>
      </c>
      <c r="E435" s="412">
        <f t="shared" si="22"/>
        <v>-31.670000000000016</v>
      </c>
      <c r="F435" s="412">
        <f t="shared" si="24"/>
        <v>-11.069556099265995</v>
      </c>
      <c r="G435" s="404"/>
    </row>
    <row r="436" spans="1:7" s="391" customFormat="1" ht="17.25" customHeight="1">
      <c r="A436" s="413" t="s">
        <v>790</v>
      </c>
      <c r="B436" s="414" t="s">
        <v>791</v>
      </c>
      <c r="C436" s="415">
        <f>SUM('[36]分类汇总表'!BJ1881)/10</f>
        <v>254.43</v>
      </c>
      <c r="D436" s="415">
        <v>286.1</v>
      </c>
      <c r="E436" s="416">
        <f t="shared" si="22"/>
        <v>-31.670000000000016</v>
      </c>
      <c r="F436" s="416">
        <f t="shared" si="24"/>
        <v>-11.069556099265995</v>
      </c>
      <c r="G436" s="404"/>
    </row>
    <row r="437" spans="1:7" s="391" customFormat="1" ht="17.25" customHeight="1">
      <c r="A437" s="409">
        <v>21503</v>
      </c>
      <c r="B437" s="410" t="s">
        <v>792</v>
      </c>
      <c r="C437" s="411">
        <f>SUM('[36]分类汇总表'!BJ1884)/10</f>
        <v>273.73</v>
      </c>
      <c r="D437" s="411">
        <v>400.6</v>
      </c>
      <c r="E437" s="412">
        <f t="shared" si="22"/>
        <v>-126.87</v>
      </c>
      <c r="F437" s="412">
        <f t="shared" si="24"/>
        <v>-31.669995007488765</v>
      </c>
      <c r="G437" s="404"/>
    </row>
    <row r="438" spans="1:7" s="391" customFormat="1" ht="17.25" customHeight="1">
      <c r="A438" s="413" t="s">
        <v>793</v>
      </c>
      <c r="B438" s="414" t="s">
        <v>794</v>
      </c>
      <c r="C438" s="415">
        <f>SUM('[36]分类汇总表'!BJ1883)/10</f>
        <v>273.73</v>
      </c>
      <c r="D438" s="415">
        <v>400.6</v>
      </c>
      <c r="E438" s="416">
        <f t="shared" si="22"/>
        <v>-126.87</v>
      </c>
      <c r="F438" s="416">
        <f t="shared" si="24"/>
        <v>-31.669995007488765</v>
      </c>
      <c r="G438" s="404"/>
    </row>
    <row r="439" spans="1:7" s="391" customFormat="1" ht="17.25" customHeight="1">
      <c r="A439" s="409">
        <v>21505</v>
      </c>
      <c r="B439" s="410" t="s">
        <v>795</v>
      </c>
      <c r="C439" s="411">
        <f>SUM('[36]分类汇总表'!BJ1887)/10</f>
        <v>576.5</v>
      </c>
      <c r="D439" s="411">
        <v>591.7</v>
      </c>
      <c r="E439" s="412">
        <f t="shared" si="22"/>
        <v>-15.200000000000045</v>
      </c>
      <c r="F439" s="412">
        <f t="shared" si="24"/>
        <v>-2.568869359472714</v>
      </c>
      <c r="G439" s="404"/>
    </row>
    <row r="440" spans="1:7" s="391" customFormat="1" ht="17.25" customHeight="1">
      <c r="A440" s="413" t="s">
        <v>796</v>
      </c>
      <c r="B440" s="414" t="s">
        <v>797</v>
      </c>
      <c r="C440" s="415">
        <f>SUM('[36]分类汇总表'!BJ1885:BJ1886)/10</f>
        <v>576.5</v>
      </c>
      <c r="D440" s="415">
        <v>591.7</v>
      </c>
      <c r="E440" s="416">
        <f t="shared" si="22"/>
        <v>-15.200000000000045</v>
      </c>
      <c r="F440" s="416">
        <f t="shared" si="24"/>
        <v>-2.568869359472714</v>
      </c>
      <c r="G440" s="404"/>
    </row>
    <row r="441" spans="1:7" s="391" customFormat="1" ht="17.25" customHeight="1">
      <c r="A441" s="409">
        <v>21506</v>
      </c>
      <c r="B441" s="410" t="s">
        <v>798</v>
      </c>
      <c r="C441" s="411">
        <f>SUM('[36]分类汇总表'!BJ1895)/10</f>
        <v>2726.27</v>
      </c>
      <c r="D441" s="411">
        <v>2846.2</v>
      </c>
      <c r="E441" s="412">
        <f t="shared" si="22"/>
        <v>-119.92999999999984</v>
      </c>
      <c r="F441" s="412">
        <f t="shared" si="24"/>
        <v>-4.213688426674153</v>
      </c>
      <c r="G441" s="404"/>
    </row>
    <row r="442" spans="1:7" s="391" customFormat="1" ht="17.25" customHeight="1">
      <c r="A442" s="413" t="s">
        <v>799</v>
      </c>
      <c r="B442" s="414" t="s">
        <v>800</v>
      </c>
      <c r="C442" s="415">
        <f>SUM('[36]分类汇总表'!BJ1888)/10</f>
        <v>358.38</v>
      </c>
      <c r="D442" s="415">
        <v>425.1</v>
      </c>
      <c r="E442" s="416">
        <f t="shared" si="22"/>
        <v>-66.72000000000003</v>
      </c>
      <c r="F442" s="416">
        <f t="shared" si="24"/>
        <v>-15.695130557515881</v>
      </c>
      <c r="G442" s="404"/>
    </row>
    <row r="443" spans="1:7" s="391" customFormat="1" ht="17.25" customHeight="1">
      <c r="A443" s="413" t="s">
        <v>801</v>
      </c>
      <c r="B443" s="414" t="s">
        <v>802</v>
      </c>
      <c r="C443" s="415">
        <f>SUM('[36]分类汇总表'!BJ1889)/10</f>
        <v>15</v>
      </c>
      <c r="D443" s="415">
        <v>15</v>
      </c>
      <c r="E443" s="416">
        <f t="shared" si="22"/>
        <v>0</v>
      </c>
      <c r="F443" s="416">
        <f t="shared" si="24"/>
        <v>0</v>
      </c>
      <c r="G443" s="404"/>
    </row>
    <row r="444" spans="1:7" s="391" customFormat="1" ht="17.25" customHeight="1">
      <c r="A444" s="413">
        <v>2150605</v>
      </c>
      <c r="B444" s="414" t="s">
        <v>803</v>
      </c>
      <c r="C444" s="415">
        <f>SUM('[36]分类汇总表'!BJ1890:BJ1891)/10</f>
        <v>2003</v>
      </c>
      <c r="D444" s="415">
        <v>2003</v>
      </c>
      <c r="E444" s="416">
        <f t="shared" si="22"/>
        <v>0</v>
      </c>
      <c r="F444" s="416">
        <f t="shared" si="24"/>
        <v>0</v>
      </c>
      <c r="G444" s="404"/>
    </row>
    <row r="445" spans="1:7" s="391" customFormat="1" ht="17.25" customHeight="1">
      <c r="A445" s="413" t="s">
        <v>804</v>
      </c>
      <c r="B445" s="414" t="s">
        <v>805</v>
      </c>
      <c r="C445" s="415">
        <f>SUM('[36]分类汇总表'!BJ1892)/10</f>
        <v>101.64</v>
      </c>
      <c r="D445" s="415">
        <v>120.1</v>
      </c>
      <c r="E445" s="416">
        <f t="shared" si="22"/>
        <v>-18.459999999999994</v>
      </c>
      <c r="F445" s="416">
        <f t="shared" si="24"/>
        <v>-15.370524562864276</v>
      </c>
      <c r="G445" s="404"/>
    </row>
    <row r="446" spans="1:7" s="391" customFormat="1" ht="17.25" customHeight="1">
      <c r="A446" s="413" t="s">
        <v>806</v>
      </c>
      <c r="B446" s="414" t="s">
        <v>807</v>
      </c>
      <c r="C446" s="415">
        <f>SUM('[36]分类汇总表'!BJ1893:BJ1894)/10</f>
        <v>248.25</v>
      </c>
      <c r="D446" s="415">
        <v>283</v>
      </c>
      <c r="E446" s="416">
        <f t="shared" si="22"/>
        <v>-34.75</v>
      </c>
      <c r="F446" s="416">
        <f t="shared" si="24"/>
        <v>-12.279151943462892</v>
      </c>
      <c r="G446" s="404"/>
    </row>
    <row r="447" spans="1:7" s="391" customFormat="1" ht="17.25" customHeight="1">
      <c r="A447" s="409">
        <v>21507</v>
      </c>
      <c r="B447" s="410" t="s">
        <v>808</v>
      </c>
      <c r="C447" s="411">
        <f>SUM('[36]分类汇总表'!BJ1897)/10</f>
        <v>494.62</v>
      </c>
      <c r="D447" s="411">
        <v>553.4</v>
      </c>
      <c r="E447" s="412">
        <f t="shared" si="22"/>
        <v>-58.77999999999997</v>
      </c>
      <c r="F447" s="412">
        <f t="shared" si="24"/>
        <v>-10.6216118539935</v>
      </c>
      <c r="G447" s="404"/>
    </row>
    <row r="448" spans="1:7" s="391" customFormat="1" ht="17.25" customHeight="1">
      <c r="A448" s="413" t="s">
        <v>809</v>
      </c>
      <c r="B448" s="414" t="s">
        <v>810</v>
      </c>
      <c r="C448" s="415">
        <f>SUM('[36]分类汇总表'!BJ1896)/10</f>
        <v>494.62</v>
      </c>
      <c r="D448" s="415">
        <v>553.4</v>
      </c>
      <c r="E448" s="416">
        <f t="shared" si="22"/>
        <v>-58.77999999999997</v>
      </c>
      <c r="F448" s="416">
        <f t="shared" si="24"/>
        <v>-10.6216118539935</v>
      </c>
      <c r="G448" s="404"/>
    </row>
    <row r="449" spans="1:7" s="391" customFormat="1" ht="17.25" customHeight="1">
      <c r="A449" s="409">
        <v>21508</v>
      </c>
      <c r="B449" s="410" t="s">
        <v>811</v>
      </c>
      <c r="C449" s="411">
        <f>SUM('[36]分类汇总表'!BJ1900)/10</f>
        <v>21000</v>
      </c>
      <c r="D449" s="411">
        <v>11000</v>
      </c>
      <c r="E449" s="412">
        <f t="shared" si="22"/>
        <v>10000</v>
      </c>
      <c r="F449" s="412">
        <f aca="true" t="shared" si="25" ref="F449:F470">C449/D449*100-100</f>
        <v>90.9090909090909</v>
      </c>
      <c r="G449" s="404"/>
    </row>
    <row r="450" spans="1:7" s="391" customFormat="1" ht="17.25" customHeight="1">
      <c r="A450" s="413">
        <v>2150805</v>
      </c>
      <c r="B450" s="414" t="s">
        <v>812</v>
      </c>
      <c r="C450" s="415">
        <f>SUM('[36]分类汇总表'!BJ1898)/10</f>
        <v>1000</v>
      </c>
      <c r="D450" s="415">
        <v>1000</v>
      </c>
      <c r="E450" s="416">
        <f t="shared" si="22"/>
        <v>0</v>
      </c>
      <c r="F450" s="416">
        <f t="shared" si="25"/>
        <v>0</v>
      </c>
      <c r="G450" s="404"/>
    </row>
    <row r="451" spans="1:7" s="391" customFormat="1" ht="17.25" customHeight="1">
      <c r="A451" s="413">
        <v>2150899</v>
      </c>
      <c r="B451" s="414" t="s">
        <v>813</v>
      </c>
      <c r="C451" s="415">
        <f>SUM('[36]分类汇总表'!BJ1899)/10</f>
        <v>20000</v>
      </c>
      <c r="D451" s="415">
        <v>10000</v>
      </c>
      <c r="E451" s="416">
        <f t="shared" si="22"/>
        <v>10000</v>
      </c>
      <c r="F451" s="416">
        <f t="shared" si="25"/>
        <v>100</v>
      </c>
      <c r="G451" s="404"/>
    </row>
    <row r="452" spans="1:7" s="391" customFormat="1" ht="17.25" customHeight="1">
      <c r="A452" s="409">
        <v>21599</v>
      </c>
      <c r="B452" s="410" t="s">
        <v>814</v>
      </c>
      <c r="C452" s="411">
        <f>SUM('[36]分类汇总表'!BJ1927)/10</f>
        <v>206362.36000000002</v>
      </c>
      <c r="D452" s="411">
        <v>210244.3</v>
      </c>
      <c r="E452" s="412">
        <f t="shared" si="22"/>
        <v>-3881.939999999973</v>
      </c>
      <c r="F452" s="412">
        <f t="shared" si="25"/>
        <v>-1.8463948844272977</v>
      </c>
      <c r="G452" s="404"/>
    </row>
    <row r="453" spans="1:7" s="391" customFormat="1" ht="17.25" customHeight="1">
      <c r="A453" s="413">
        <v>2159999</v>
      </c>
      <c r="B453" s="414" t="s">
        <v>815</v>
      </c>
      <c r="C453" s="415">
        <f>SUM('[36]分类汇总表'!BJ1901:BJ1926)/10</f>
        <v>206362.36000000002</v>
      </c>
      <c r="D453" s="415">
        <v>210244.3</v>
      </c>
      <c r="E453" s="416">
        <f aca="true" t="shared" si="26" ref="E453:E507">C453-D453</f>
        <v>-3881.939999999973</v>
      </c>
      <c r="F453" s="416">
        <f t="shared" si="25"/>
        <v>-1.8463948844272977</v>
      </c>
      <c r="G453" s="404"/>
    </row>
    <row r="454" spans="1:7" s="391" customFormat="1" ht="17.25" customHeight="1">
      <c r="A454" s="405">
        <v>216</v>
      </c>
      <c r="B454" s="405" t="s">
        <v>816</v>
      </c>
      <c r="C454" s="406">
        <f>SUM('[36]分类汇总表'!BJ1945)/10</f>
        <v>11771.01</v>
      </c>
      <c r="D454" s="406">
        <v>11881.4</v>
      </c>
      <c r="E454" s="407">
        <f t="shared" si="26"/>
        <v>-110.38999999999942</v>
      </c>
      <c r="F454" s="407">
        <f t="shared" si="25"/>
        <v>-0.9290992643964557</v>
      </c>
      <c r="G454" s="408"/>
    </row>
    <row r="455" spans="1:7" s="391" customFormat="1" ht="17.25" customHeight="1">
      <c r="A455" s="409">
        <v>21602</v>
      </c>
      <c r="B455" s="410" t="s">
        <v>817</v>
      </c>
      <c r="C455" s="411">
        <f>SUM('[36]分类汇总表'!BJ1931)/10</f>
        <v>345.88</v>
      </c>
      <c r="D455" s="411">
        <v>430.7</v>
      </c>
      <c r="E455" s="412">
        <f t="shared" si="26"/>
        <v>-84.82</v>
      </c>
      <c r="F455" s="412">
        <f t="shared" si="25"/>
        <v>-19.693522173206418</v>
      </c>
      <c r="G455" s="404"/>
    </row>
    <row r="456" spans="1:7" s="391" customFormat="1" ht="17.25" customHeight="1">
      <c r="A456" s="413" t="s">
        <v>818</v>
      </c>
      <c r="B456" s="414" t="s">
        <v>819</v>
      </c>
      <c r="C456" s="415">
        <f>SUM('[36]分类汇总表'!BJ1929)/10</f>
        <v>307.24</v>
      </c>
      <c r="D456" s="415">
        <v>392.1</v>
      </c>
      <c r="E456" s="416">
        <f t="shared" si="26"/>
        <v>-84.86000000000001</v>
      </c>
      <c r="F456" s="416">
        <f t="shared" si="25"/>
        <v>-21.642438153532268</v>
      </c>
      <c r="G456" s="404"/>
    </row>
    <row r="457" spans="1:7" s="391" customFormat="1" ht="17.25" customHeight="1">
      <c r="A457" s="413" t="s">
        <v>820</v>
      </c>
      <c r="B457" s="414" t="s">
        <v>821</v>
      </c>
      <c r="C457" s="415">
        <f>SUM('[36]分类汇总表'!BJ1930)/10</f>
        <v>38.64</v>
      </c>
      <c r="D457" s="415">
        <v>38.6</v>
      </c>
      <c r="E457" s="416">
        <f t="shared" si="26"/>
        <v>0.03999999999999915</v>
      </c>
      <c r="F457" s="416">
        <f t="shared" si="25"/>
        <v>0.10362694300518172</v>
      </c>
      <c r="G457" s="404"/>
    </row>
    <row r="458" spans="1:7" s="391" customFormat="1" ht="17.25" customHeight="1">
      <c r="A458" s="409">
        <v>21605</v>
      </c>
      <c r="B458" s="410" t="s">
        <v>822</v>
      </c>
      <c r="C458" s="411">
        <f>SUM('[36]分类汇总表'!BJ1937)/10</f>
        <v>8201.33</v>
      </c>
      <c r="D458" s="411">
        <v>8250</v>
      </c>
      <c r="E458" s="412">
        <f t="shared" si="26"/>
        <v>-48.67000000000007</v>
      </c>
      <c r="F458" s="412">
        <f t="shared" si="25"/>
        <v>-0.5899393939394031</v>
      </c>
      <c r="G458" s="404"/>
    </row>
    <row r="459" spans="1:7" s="391" customFormat="1" ht="17.25" customHeight="1">
      <c r="A459" s="413" t="s">
        <v>823</v>
      </c>
      <c r="B459" s="414" t="s">
        <v>824</v>
      </c>
      <c r="C459" s="415">
        <f>SUM('[36]分类汇总表'!BJ1932)/10</f>
        <v>245.29000000000002</v>
      </c>
      <c r="D459" s="415">
        <v>286.8</v>
      </c>
      <c r="E459" s="416">
        <f t="shared" si="26"/>
        <v>-41.50999999999999</v>
      </c>
      <c r="F459" s="416">
        <f t="shared" si="25"/>
        <v>-14.473500697350062</v>
      </c>
      <c r="G459" s="404"/>
    </row>
    <row r="460" spans="1:7" s="391" customFormat="1" ht="17.25" customHeight="1">
      <c r="A460" s="413" t="s">
        <v>825</v>
      </c>
      <c r="B460" s="414" t="s">
        <v>826</v>
      </c>
      <c r="C460" s="415">
        <f>SUM('[36]分类汇总表'!BJ1933)/10</f>
        <v>115</v>
      </c>
      <c r="D460" s="415">
        <v>115</v>
      </c>
      <c r="E460" s="416">
        <f t="shared" si="26"/>
        <v>0</v>
      </c>
      <c r="F460" s="416">
        <f t="shared" si="25"/>
        <v>0</v>
      </c>
      <c r="G460" s="404"/>
    </row>
    <row r="461" spans="1:7" s="391" customFormat="1" ht="17.25" customHeight="1">
      <c r="A461" s="413" t="s">
        <v>827</v>
      </c>
      <c r="B461" s="414" t="s">
        <v>828</v>
      </c>
      <c r="C461" s="415">
        <f>SUM('[36]分类汇总表'!BJ1934:BJ1936)/10</f>
        <v>7841.039999999999</v>
      </c>
      <c r="D461" s="415">
        <v>7848.2</v>
      </c>
      <c r="E461" s="416">
        <f t="shared" si="26"/>
        <v>-7.160000000000764</v>
      </c>
      <c r="F461" s="416">
        <f t="shared" si="25"/>
        <v>-0.09123111031830433</v>
      </c>
      <c r="G461" s="404"/>
    </row>
    <row r="462" spans="1:7" s="391" customFormat="1" ht="17.25" customHeight="1">
      <c r="A462" s="409">
        <v>21606</v>
      </c>
      <c r="B462" s="410" t="s">
        <v>829</v>
      </c>
      <c r="C462" s="411">
        <f>SUM('[36]分类汇总表'!BJ1941)/10</f>
        <v>2623.8</v>
      </c>
      <c r="D462" s="411">
        <v>2701.7</v>
      </c>
      <c r="E462" s="412">
        <f t="shared" si="26"/>
        <v>-77.89999999999964</v>
      </c>
      <c r="F462" s="412">
        <f t="shared" si="25"/>
        <v>-2.883369730169889</v>
      </c>
      <c r="G462" s="404"/>
    </row>
    <row r="463" spans="1:7" s="391" customFormat="1" ht="17.25" customHeight="1">
      <c r="A463" s="413" t="s">
        <v>830</v>
      </c>
      <c r="B463" s="414" t="s">
        <v>831</v>
      </c>
      <c r="C463" s="415">
        <f>SUM('[36]分类汇总表'!BJ1938)/10</f>
        <v>575.3</v>
      </c>
      <c r="D463" s="415">
        <v>653.2</v>
      </c>
      <c r="E463" s="416">
        <f t="shared" si="26"/>
        <v>-77.90000000000009</v>
      </c>
      <c r="F463" s="416">
        <f t="shared" si="25"/>
        <v>-11.925903245560335</v>
      </c>
      <c r="G463" s="404"/>
    </row>
    <row r="464" spans="1:7" s="391" customFormat="1" ht="17.25" customHeight="1">
      <c r="A464" s="413" t="s">
        <v>832</v>
      </c>
      <c r="B464" s="414" t="s">
        <v>833</v>
      </c>
      <c r="C464" s="415">
        <f>SUM('[36]分类汇总表'!BJ1939)/10</f>
        <v>48.5</v>
      </c>
      <c r="D464" s="415">
        <v>48.5</v>
      </c>
      <c r="E464" s="416">
        <f t="shared" si="26"/>
        <v>0</v>
      </c>
      <c r="F464" s="416">
        <f t="shared" si="25"/>
        <v>0</v>
      </c>
      <c r="G464" s="404"/>
    </row>
    <row r="465" spans="1:7" s="391" customFormat="1" ht="17.25" customHeight="1">
      <c r="A465" s="413">
        <v>2160699</v>
      </c>
      <c r="B465" s="414" t="s">
        <v>834</v>
      </c>
      <c r="C465" s="415">
        <f>SUM('[36]分类汇总表'!BJ1940)/10</f>
        <v>2000</v>
      </c>
      <c r="D465" s="415">
        <v>2000</v>
      </c>
      <c r="E465" s="416">
        <f t="shared" si="26"/>
        <v>0</v>
      </c>
      <c r="F465" s="416">
        <f t="shared" si="25"/>
        <v>0</v>
      </c>
      <c r="G465" s="404"/>
    </row>
    <row r="466" spans="1:7" s="391" customFormat="1" ht="17.25" customHeight="1">
      <c r="A466" s="409">
        <v>21699</v>
      </c>
      <c r="B466" s="410" t="s">
        <v>835</v>
      </c>
      <c r="C466" s="411">
        <f>SUM('[36]分类汇总表'!BJ1944)/10</f>
        <v>600</v>
      </c>
      <c r="D466" s="411">
        <v>499</v>
      </c>
      <c r="E466" s="412">
        <f t="shared" si="26"/>
        <v>101</v>
      </c>
      <c r="F466" s="412">
        <f t="shared" si="25"/>
        <v>20.24048096192385</v>
      </c>
      <c r="G466" s="404"/>
    </row>
    <row r="467" spans="1:7" s="391" customFormat="1" ht="17.25" customHeight="1">
      <c r="A467" s="413">
        <v>2169999</v>
      </c>
      <c r="B467" s="414" t="s">
        <v>836</v>
      </c>
      <c r="C467" s="415">
        <f>SUM('[36]分类汇总表'!BJ1942:BJ1943)/10</f>
        <v>600</v>
      </c>
      <c r="D467" s="415">
        <v>499</v>
      </c>
      <c r="E467" s="416">
        <f t="shared" si="26"/>
        <v>101</v>
      </c>
      <c r="F467" s="416">
        <f t="shared" si="25"/>
        <v>20.24048096192385</v>
      </c>
      <c r="G467" s="404"/>
    </row>
    <row r="468" spans="1:7" s="390" customFormat="1" ht="17.25" customHeight="1">
      <c r="A468" s="405">
        <v>217</v>
      </c>
      <c r="B468" s="405" t="s">
        <v>837</v>
      </c>
      <c r="C468" s="406">
        <f>SUM('[36]分类汇总表'!BJ1950)/10</f>
        <v>7000</v>
      </c>
      <c r="D468" s="406">
        <v>6000</v>
      </c>
      <c r="E468" s="407">
        <f t="shared" si="26"/>
        <v>1000</v>
      </c>
      <c r="F468" s="407">
        <f t="shared" si="25"/>
        <v>16.66666666666667</v>
      </c>
      <c r="G468" s="408"/>
    </row>
    <row r="469" spans="1:7" s="390" customFormat="1" ht="17.25" customHeight="1">
      <c r="A469" s="423">
        <v>21703</v>
      </c>
      <c r="B469" s="424" t="s">
        <v>838</v>
      </c>
      <c r="C469" s="425">
        <f>SUM('[36]分类汇总表'!BJ1947)/10</f>
        <v>7000</v>
      </c>
      <c r="D469" s="425">
        <v>6000</v>
      </c>
      <c r="E469" s="412">
        <f t="shared" si="26"/>
        <v>1000</v>
      </c>
      <c r="F469" s="412">
        <f t="shared" si="25"/>
        <v>16.66666666666667</v>
      </c>
      <c r="G469" s="404"/>
    </row>
    <row r="470" spans="1:7" s="390" customFormat="1" ht="17.25" customHeight="1">
      <c r="A470" s="426">
        <v>2170399</v>
      </c>
      <c r="B470" s="422" t="s">
        <v>839</v>
      </c>
      <c r="C470" s="417">
        <f>SUM('[36]分类汇总表'!BJ1946)/10</f>
        <v>7000</v>
      </c>
      <c r="D470" s="417">
        <v>6000</v>
      </c>
      <c r="E470" s="416">
        <f t="shared" si="26"/>
        <v>1000</v>
      </c>
      <c r="F470" s="416">
        <f t="shared" si="25"/>
        <v>16.66666666666667</v>
      </c>
      <c r="G470" s="404"/>
    </row>
    <row r="471" spans="1:7" s="390" customFormat="1" ht="17.25" customHeight="1">
      <c r="A471" s="423">
        <v>21799</v>
      </c>
      <c r="B471" s="424" t="s">
        <v>840</v>
      </c>
      <c r="C471" s="425">
        <f>SUM('[36]分类汇总表'!BJ1949)/10</f>
        <v>0</v>
      </c>
      <c r="D471" s="425"/>
      <c r="E471" s="416">
        <f t="shared" si="26"/>
        <v>0</v>
      </c>
      <c r="F471" s="412"/>
      <c r="G471" s="404"/>
    </row>
    <row r="472" spans="1:7" s="390" customFormat="1" ht="17.25" customHeight="1">
      <c r="A472" s="426">
        <v>2179901</v>
      </c>
      <c r="B472" s="422" t="s">
        <v>841</v>
      </c>
      <c r="C472" s="417">
        <f>SUM('[36]分类汇总表'!BJ1948)/10</f>
        <v>0</v>
      </c>
      <c r="D472" s="417"/>
      <c r="E472" s="416">
        <f t="shared" si="26"/>
        <v>0</v>
      </c>
      <c r="F472" s="416"/>
      <c r="G472" s="404"/>
    </row>
    <row r="473" spans="1:7" s="391" customFormat="1" ht="17.25" customHeight="1">
      <c r="A473" s="405">
        <v>220</v>
      </c>
      <c r="B473" s="405" t="s">
        <v>842</v>
      </c>
      <c r="C473" s="406">
        <f>SUM('[36]分类汇总表'!BJ2018)/10</f>
        <v>9474.59</v>
      </c>
      <c r="D473" s="406">
        <v>9006</v>
      </c>
      <c r="E473" s="407">
        <f t="shared" si="26"/>
        <v>468.59000000000015</v>
      </c>
      <c r="F473" s="407">
        <f aca="true" t="shared" si="27" ref="F473:F507">C473/D473*100-100</f>
        <v>5.203086831001542</v>
      </c>
      <c r="G473" s="408"/>
    </row>
    <row r="474" spans="1:7" s="391" customFormat="1" ht="17.25" customHeight="1">
      <c r="A474" s="409">
        <v>22001</v>
      </c>
      <c r="B474" s="410" t="s">
        <v>843</v>
      </c>
      <c r="C474" s="411">
        <f>SUM('[36]分类汇总表'!BJ2006)/10</f>
        <v>7835.860000000001</v>
      </c>
      <c r="D474" s="411">
        <v>7238.5</v>
      </c>
      <c r="E474" s="412">
        <f t="shared" si="26"/>
        <v>597.3600000000006</v>
      </c>
      <c r="F474" s="412">
        <f t="shared" si="27"/>
        <v>8.252538509359681</v>
      </c>
      <c r="G474" s="404"/>
    </row>
    <row r="475" spans="1:7" s="391" customFormat="1" ht="17.25" customHeight="1">
      <c r="A475" s="413" t="s">
        <v>844</v>
      </c>
      <c r="B475" s="414" t="s">
        <v>845</v>
      </c>
      <c r="C475" s="415">
        <f>SUM('[36]分类汇总表'!BJ1951:BJ1962)/10</f>
        <v>1191.56</v>
      </c>
      <c r="D475" s="415">
        <v>1454.7</v>
      </c>
      <c r="E475" s="416">
        <f t="shared" si="26"/>
        <v>-263.1400000000001</v>
      </c>
      <c r="F475" s="416">
        <f t="shared" si="27"/>
        <v>-18.088953048738574</v>
      </c>
      <c r="G475" s="404"/>
    </row>
    <row r="476" spans="1:7" s="391" customFormat="1" ht="17.25" customHeight="1">
      <c r="A476" s="413" t="s">
        <v>846</v>
      </c>
      <c r="B476" s="414" t="s">
        <v>847</v>
      </c>
      <c r="C476" s="415">
        <f>SUM('[36]分类汇总表'!BJ1963:BJ1971)/10</f>
        <v>963.64</v>
      </c>
      <c r="D476" s="415">
        <v>788.9</v>
      </c>
      <c r="E476" s="416">
        <f t="shared" si="26"/>
        <v>174.74</v>
      </c>
      <c r="F476" s="416">
        <f t="shared" si="27"/>
        <v>22.149828875649646</v>
      </c>
      <c r="G476" s="404"/>
    </row>
    <row r="477" spans="1:7" s="391" customFormat="1" ht="17.25" customHeight="1">
      <c r="A477" s="413" t="s">
        <v>848</v>
      </c>
      <c r="B477" s="414" t="s">
        <v>849</v>
      </c>
      <c r="C477" s="415">
        <f>SUM('[36]分类汇总表'!BJ1972:BJ1997)/10</f>
        <v>2258.0799999999995</v>
      </c>
      <c r="D477" s="415">
        <v>2464.3</v>
      </c>
      <c r="E477" s="416">
        <f t="shared" si="26"/>
        <v>-206.2200000000007</v>
      </c>
      <c r="F477" s="416">
        <f t="shared" si="27"/>
        <v>-8.368299314206908</v>
      </c>
      <c r="G477" s="404"/>
    </row>
    <row r="478" spans="1:7" s="391" customFormat="1" ht="17.25" customHeight="1">
      <c r="A478" s="413" t="s">
        <v>850</v>
      </c>
      <c r="B478" s="414" t="s">
        <v>851</v>
      </c>
      <c r="C478" s="415">
        <f>SUM('[36]分类汇总表'!BJ1998:BJ2005)/10</f>
        <v>3422.5800000000004</v>
      </c>
      <c r="D478" s="415">
        <v>2530.6</v>
      </c>
      <c r="E478" s="416">
        <f t="shared" si="26"/>
        <v>891.9800000000005</v>
      </c>
      <c r="F478" s="416">
        <f t="shared" si="27"/>
        <v>35.247767327906445</v>
      </c>
      <c r="G478" s="404"/>
    </row>
    <row r="479" spans="1:7" s="391" customFormat="1" ht="17.25" customHeight="1">
      <c r="A479" s="409">
        <v>22004</v>
      </c>
      <c r="B479" s="410" t="s">
        <v>852</v>
      </c>
      <c r="C479" s="411">
        <f>SUM('[36]分类汇总表'!BJ2010)/10</f>
        <v>387.78000000000003</v>
      </c>
      <c r="D479" s="411">
        <v>405.4</v>
      </c>
      <c r="E479" s="412">
        <f t="shared" si="26"/>
        <v>-17.619999999999948</v>
      </c>
      <c r="F479" s="412">
        <f t="shared" si="27"/>
        <v>-4.346324617661551</v>
      </c>
      <c r="G479" s="404"/>
    </row>
    <row r="480" spans="1:7" s="391" customFormat="1" ht="17.25" customHeight="1">
      <c r="A480" s="413" t="s">
        <v>853</v>
      </c>
      <c r="B480" s="414" t="s">
        <v>854</v>
      </c>
      <c r="C480" s="415">
        <f>SUM('[36]分类汇总表'!BJ2007)/10</f>
        <v>182.60999999999999</v>
      </c>
      <c r="D480" s="415">
        <v>211.6</v>
      </c>
      <c r="E480" s="416">
        <f t="shared" si="26"/>
        <v>-28.99000000000001</v>
      </c>
      <c r="F480" s="416">
        <f t="shared" si="27"/>
        <v>-13.700378071833654</v>
      </c>
      <c r="G480" s="404"/>
    </row>
    <row r="481" spans="1:7" s="391" customFormat="1" ht="17.25" customHeight="1">
      <c r="A481" s="413" t="s">
        <v>855</v>
      </c>
      <c r="B481" s="414" t="s">
        <v>856</v>
      </c>
      <c r="C481" s="415">
        <f>SUM('[36]分类汇总表'!BJ2008)/10</f>
        <v>40.97</v>
      </c>
      <c r="D481" s="415">
        <v>49.6</v>
      </c>
      <c r="E481" s="416">
        <f t="shared" si="26"/>
        <v>-8.630000000000003</v>
      </c>
      <c r="F481" s="416">
        <f t="shared" si="27"/>
        <v>-17.399193548387103</v>
      </c>
      <c r="G481" s="404"/>
    </row>
    <row r="482" spans="1:7" s="391" customFormat="1" ht="17.25" customHeight="1">
      <c r="A482" s="413" t="s">
        <v>857</v>
      </c>
      <c r="B482" s="414" t="s">
        <v>858</v>
      </c>
      <c r="C482" s="415">
        <f>SUM('[36]分类汇总表'!BJ2009)/10</f>
        <v>164.2</v>
      </c>
      <c r="D482" s="415">
        <v>144.2</v>
      </c>
      <c r="E482" s="416">
        <f t="shared" si="26"/>
        <v>20</v>
      </c>
      <c r="F482" s="416">
        <f t="shared" si="27"/>
        <v>13.869625520110958</v>
      </c>
      <c r="G482" s="404"/>
    </row>
    <row r="483" spans="1:7" s="391" customFormat="1" ht="17.25" customHeight="1">
      <c r="A483" s="409">
        <v>22005</v>
      </c>
      <c r="B483" s="410" t="s">
        <v>859</v>
      </c>
      <c r="C483" s="411">
        <f>SUM('[36]分类汇总表'!BJ2015)/10</f>
        <v>490.95</v>
      </c>
      <c r="D483" s="411">
        <v>596.1</v>
      </c>
      <c r="E483" s="412">
        <f t="shared" si="26"/>
        <v>-105.15000000000003</v>
      </c>
      <c r="F483" s="412">
        <f t="shared" si="27"/>
        <v>-17.639657775541025</v>
      </c>
      <c r="G483" s="404"/>
    </row>
    <row r="484" spans="1:7" s="391" customFormat="1" ht="17.25" customHeight="1">
      <c r="A484" s="413" t="s">
        <v>860</v>
      </c>
      <c r="B484" s="414" t="s">
        <v>861</v>
      </c>
      <c r="C484" s="415">
        <f>SUM('[36]分类汇总表'!BJ2011:BJ2012)/10</f>
        <v>465.55</v>
      </c>
      <c r="D484" s="415">
        <v>580.7</v>
      </c>
      <c r="E484" s="416">
        <f t="shared" si="26"/>
        <v>-115.15000000000003</v>
      </c>
      <c r="F484" s="416">
        <f t="shared" si="27"/>
        <v>-19.8295161012571</v>
      </c>
      <c r="G484" s="404"/>
    </row>
    <row r="485" spans="1:7" s="391" customFormat="1" ht="17.25" customHeight="1">
      <c r="A485" s="413" t="s">
        <v>862</v>
      </c>
      <c r="B485" s="414" t="s">
        <v>863</v>
      </c>
      <c r="C485" s="415">
        <f>SUM('[36]分类汇总表'!BJ2013:BJ2014)/10</f>
        <v>25.4</v>
      </c>
      <c r="D485" s="415">
        <v>15.4</v>
      </c>
      <c r="E485" s="416">
        <f t="shared" si="26"/>
        <v>9.999999999999998</v>
      </c>
      <c r="F485" s="416">
        <f t="shared" si="27"/>
        <v>64.9350649350649</v>
      </c>
      <c r="G485" s="404"/>
    </row>
    <row r="486" spans="1:7" s="391" customFormat="1" ht="17.25" customHeight="1">
      <c r="A486" s="409">
        <v>22099</v>
      </c>
      <c r="B486" s="410" t="s">
        <v>864</v>
      </c>
      <c r="C486" s="411">
        <f>SUM('[36]分类汇总表'!BJ2017)/10</f>
        <v>760</v>
      </c>
      <c r="D486" s="411">
        <v>765.9</v>
      </c>
      <c r="E486" s="412">
        <f t="shared" si="26"/>
        <v>-5.899999999999977</v>
      </c>
      <c r="F486" s="412">
        <f t="shared" si="27"/>
        <v>-0.7703355529442462</v>
      </c>
      <c r="G486" s="404"/>
    </row>
    <row r="487" spans="1:7" s="391" customFormat="1" ht="17.25" customHeight="1">
      <c r="A487" s="413">
        <v>22099</v>
      </c>
      <c r="B487" s="414" t="s">
        <v>865</v>
      </c>
      <c r="C487" s="415">
        <f>SUM('[36]分类汇总表'!BJ2016)/10</f>
        <v>760</v>
      </c>
      <c r="D487" s="415">
        <v>765.9</v>
      </c>
      <c r="E487" s="416">
        <f t="shared" si="26"/>
        <v>-5.899999999999977</v>
      </c>
      <c r="F487" s="416">
        <f t="shared" si="27"/>
        <v>-0.7703355529442462</v>
      </c>
      <c r="G487" s="404"/>
    </row>
    <row r="488" spans="1:7" s="391" customFormat="1" ht="17.25" customHeight="1">
      <c r="A488" s="405">
        <v>221</v>
      </c>
      <c r="B488" s="405" t="s">
        <v>866</v>
      </c>
      <c r="C488" s="406">
        <f>SUM('[36]分类汇总表'!BJ2834)/10</f>
        <v>63175.89</v>
      </c>
      <c r="D488" s="406">
        <v>50582.5</v>
      </c>
      <c r="E488" s="407">
        <f t="shared" si="26"/>
        <v>12593.39</v>
      </c>
      <c r="F488" s="407">
        <f t="shared" si="27"/>
        <v>24.89673305985272</v>
      </c>
      <c r="G488" s="408"/>
    </row>
    <row r="489" spans="1:7" s="391" customFormat="1" ht="17.25" customHeight="1">
      <c r="A489" s="409">
        <v>22101</v>
      </c>
      <c r="B489" s="410" t="s">
        <v>867</v>
      </c>
      <c r="C489" s="411">
        <f>SUM('[36]分类汇总表'!BJ2021)/10</f>
        <v>21615</v>
      </c>
      <c r="D489" s="411">
        <v>21615</v>
      </c>
      <c r="E489" s="412">
        <f t="shared" si="26"/>
        <v>0</v>
      </c>
      <c r="F489" s="412">
        <f t="shared" si="27"/>
        <v>0</v>
      </c>
      <c r="G489" s="404"/>
    </row>
    <row r="490" spans="1:7" s="391" customFormat="1" ht="17.25" customHeight="1">
      <c r="A490" s="413" t="s">
        <v>868</v>
      </c>
      <c r="B490" s="414" t="s">
        <v>869</v>
      </c>
      <c r="C490" s="415">
        <f>SUM('[36]分类汇总表'!BJ2019)/10</f>
        <v>20516</v>
      </c>
      <c r="D490" s="415">
        <v>20516</v>
      </c>
      <c r="E490" s="416">
        <f t="shared" si="26"/>
        <v>0</v>
      </c>
      <c r="F490" s="416">
        <f t="shared" si="27"/>
        <v>0</v>
      </c>
      <c r="G490" s="404"/>
    </row>
    <row r="491" spans="1:7" s="391" customFormat="1" ht="17.25" customHeight="1">
      <c r="A491" s="413">
        <v>2210106</v>
      </c>
      <c r="B491" s="414" t="s">
        <v>870</v>
      </c>
      <c r="C491" s="415">
        <f>SUM('[36]分类汇总表'!BJ2020)/10</f>
        <v>1099</v>
      </c>
      <c r="D491" s="415">
        <v>1099</v>
      </c>
      <c r="E491" s="416">
        <f t="shared" si="26"/>
        <v>0</v>
      </c>
      <c r="F491" s="416">
        <f t="shared" si="27"/>
        <v>0</v>
      </c>
      <c r="G491" s="404"/>
    </row>
    <row r="492" spans="1:7" s="391" customFormat="1" ht="17.25" customHeight="1">
      <c r="A492" s="409">
        <v>22102</v>
      </c>
      <c r="B492" s="410" t="s">
        <v>871</v>
      </c>
      <c r="C492" s="411">
        <f>SUM('[36]分类汇总表'!BJ2824)/10</f>
        <v>17645.629999999997</v>
      </c>
      <c r="D492" s="411">
        <v>21030.6</v>
      </c>
      <c r="E492" s="412">
        <f t="shared" si="26"/>
        <v>-3384.970000000001</v>
      </c>
      <c r="F492" s="412">
        <f t="shared" si="27"/>
        <v>-16.095451389879514</v>
      </c>
      <c r="G492" s="404"/>
    </row>
    <row r="493" spans="1:7" s="391" customFormat="1" ht="17.25" customHeight="1">
      <c r="A493" s="413">
        <v>2210201</v>
      </c>
      <c r="B493" s="414" t="s">
        <v>872</v>
      </c>
      <c r="C493" s="415">
        <f>SUM('[36]分类汇总表'!BJ2022:BJ2432)/10</f>
        <v>13598.75</v>
      </c>
      <c r="D493" s="415">
        <v>12240.3</v>
      </c>
      <c r="E493" s="416">
        <f t="shared" si="26"/>
        <v>1358.4500000000007</v>
      </c>
      <c r="F493" s="416">
        <f t="shared" si="27"/>
        <v>11.09817569830804</v>
      </c>
      <c r="G493" s="404"/>
    </row>
    <row r="494" spans="1:7" s="391" customFormat="1" ht="17.25" customHeight="1">
      <c r="A494" s="413">
        <v>2210203</v>
      </c>
      <c r="B494" s="414" t="s">
        <v>873</v>
      </c>
      <c r="C494" s="415">
        <f>SUM('[36]分类汇总表'!BJ2433:BJ2823)/10</f>
        <v>4046.8800000000024</v>
      </c>
      <c r="D494" s="415">
        <v>8790.3</v>
      </c>
      <c r="E494" s="416">
        <f t="shared" si="26"/>
        <v>-4743.419999999996</v>
      </c>
      <c r="F494" s="416">
        <f t="shared" si="27"/>
        <v>-53.96198081976721</v>
      </c>
      <c r="G494" s="404"/>
    </row>
    <row r="495" spans="1:7" s="391" customFormat="1" ht="17.25" customHeight="1">
      <c r="A495" s="409">
        <v>22103</v>
      </c>
      <c r="B495" s="410" t="s">
        <v>874</v>
      </c>
      <c r="C495" s="411">
        <f>SUM('[36]分类汇总表'!BJ2833)/10</f>
        <v>23915.260000000002</v>
      </c>
      <c r="D495" s="411">
        <v>7937</v>
      </c>
      <c r="E495" s="412">
        <f t="shared" si="26"/>
        <v>15978.260000000002</v>
      </c>
      <c r="F495" s="412">
        <f t="shared" si="27"/>
        <v>201.3135945571375</v>
      </c>
      <c r="G495" s="404"/>
    </row>
    <row r="496" spans="1:7" s="391" customFormat="1" ht="17.25" customHeight="1">
      <c r="A496" s="413" t="s">
        <v>875</v>
      </c>
      <c r="B496" s="414" t="s">
        <v>876</v>
      </c>
      <c r="C496" s="415">
        <f>SUM('[36]分类汇总表'!BJ2825:BJ2832)/10</f>
        <v>23915.260000000002</v>
      </c>
      <c r="D496" s="415">
        <v>7937</v>
      </c>
      <c r="E496" s="416">
        <f t="shared" si="26"/>
        <v>15978.260000000002</v>
      </c>
      <c r="F496" s="416">
        <f t="shared" si="27"/>
        <v>201.3135945571375</v>
      </c>
      <c r="G496" s="404"/>
    </row>
    <row r="497" spans="1:7" s="391" customFormat="1" ht="17.25" customHeight="1">
      <c r="A497" s="405">
        <v>222</v>
      </c>
      <c r="B497" s="405" t="s">
        <v>877</v>
      </c>
      <c r="C497" s="406">
        <f>SUM('[36]分类汇总表'!BJ2841)/10</f>
        <v>757.9300000000001</v>
      </c>
      <c r="D497" s="406">
        <v>926.6</v>
      </c>
      <c r="E497" s="407">
        <f t="shared" si="26"/>
        <v>-168.66999999999996</v>
      </c>
      <c r="F497" s="407">
        <f t="shared" si="27"/>
        <v>-18.20310813727606</v>
      </c>
      <c r="G497" s="408"/>
    </row>
    <row r="498" spans="1:7" s="391" customFormat="1" ht="17.25" customHeight="1">
      <c r="A498" s="409">
        <v>22201</v>
      </c>
      <c r="B498" s="410" t="s">
        <v>878</v>
      </c>
      <c r="C498" s="411">
        <f>SUM('[36]分类汇总表'!BJ2840)/10</f>
        <v>757.9300000000001</v>
      </c>
      <c r="D498" s="411">
        <v>926.6</v>
      </c>
      <c r="E498" s="412">
        <f t="shared" si="26"/>
        <v>-168.66999999999996</v>
      </c>
      <c r="F498" s="412">
        <f t="shared" si="27"/>
        <v>-18.20310813727606</v>
      </c>
      <c r="G498" s="404"/>
    </row>
    <row r="499" spans="1:7" s="391" customFormat="1" ht="17.25" customHeight="1">
      <c r="A499" s="413" t="s">
        <v>879</v>
      </c>
      <c r="B499" s="414" t="s">
        <v>880</v>
      </c>
      <c r="C499" s="415">
        <f>SUM('[36]分类汇总表'!BJ2835)/10</f>
        <v>328.98</v>
      </c>
      <c r="D499" s="415">
        <v>365.9</v>
      </c>
      <c r="E499" s="416">
        <f t="shared" si="26"/>
        <v>-36.91999999999996</v>
      </c>
      <c r="F499" s="416">
        <f t="shared" si="27"/>
        <v>-10.090188576113675</v>
      </c>
      <c r="G499" s="404"/>
    </row>
    <row r="500" spans="1:7" s="391" customFormat="1" ht="17.25" customHeight="1">
      <c r="A500" s="413" t="s">
        <v>881</v>
      </c>
      <c r="B500" s="414" t="s">
        <v>882</v>
      </c>
      <c r="C500" s="415">
        <f>SUM('[36]分类汇总表'!BJ2836)/10</f>
        <v>71</v>
      </c>
      <c r="D500" s="415">
        <v>71</v>
      </c>
      <c r="E500" s="416">
        <f t="shared" si="26"/>
        <v>0</v>
      </c>
      <c r="F500" s="416">
        <f t="shared" si="27"/>
        <v>0</v>
      </c>
      <c r="G500" s="404"/>
    </row>
    <row r="501" spans="1:7" s="391" customFormat="1" ht="17.25" customHeight="1">
      <c r="A501" s="413" t="s">
        <v>883</v>
      </c>
      <c r="B501" s="414" t="s">
        <v>884</v>
      </c>
      <c r="C501" s="415">
        <f>SUM('[36]分类汇总表'!BJ2837:BJ2839)/10</f>
        <v>357.95</v>
      </c>
      <c r="D501" s="415">
        <v>489.6</v>
      </c>
      <c r="E501" s="416">
        <f t="shared" si="26"/>
        <v>-131.65000000000003</v>
      </c>
      <c r="F501" s="416">
        <f t="shared" si="27"/>
        <v>-26.88929738562092</v>
      </c>
      <c r="G501" s="404"/>
    </row>
    <row r="502" spans="1:7" s="391" customFormat="1" ht="17.25" customHeight="1">
      <c r="A502" s="405">
        <v>227</v>
      </c>
      <c r="B502" s="405" t="s">
        <v>885</v>
      </c>
      <c r="C502" s="406">
        <f>SUM('[36]分类汇总表'!BJ2844)/10</f>
        <v>9000</v>
      </c>
      <c r="D502" s="406">
        <v>9000</v>
      </c>
      <c r="E502" s="407">
        <f t="shared" si="26"/>
        <v>0</v>
      </c>
      <c r="F502" s="407">
        <f t="shared" si="27"/>
        <v>0</v>
      </c>
      <c r="G502" s="408"/>
    </row>
    <row r="503" spans="1:7" s="391" customFormat="1" ht="17.25" customHeight="1">
      <c r="A503" s="413">
        <v>227</v>
      </c>
      <c r="B503" s="414" t="s">
        <v>885</v>
      </c>
      <c r="C503" s="415">
        <f>SUM('[36]分类汇总表'!BJ2842)/10</f>
        <v>9000</v>
      </c>
      <c r="D503" s="415">
        <v>9000</v>
      </c>
      <c r="E503" s="416">
        <f t="shared" si="26"/>
        <v>0</v>
      </c>
      <c r="F503" s="416">
        <f t="shared" si="27"/>
        <v>0</v>
      </c>
      <c r="G503" s="404"/>
    </row>
    <row r="504" spans="1:7" s="391" customFormat="1" ht="17.25" customHeight="1">
      <c r="A504" s="405">
        <v>229</v>
      </c>
      <c r="B504" s="405" t="s">
        <v>886</v>
      </c>
      <c r="C504" s="406">
        <f>SUM('[36]分类汇总表'!BJ2871)/10</f>
        <v>441170.14</v>
      </c>
      <c r="D504" s="406">
        <v>443679.8</v>
      </c>
      <c r="E504" s="407">
        <f t="shared" si="26"/>
        <v>-2509.6599999999744</v>
      </c>
      <c r="F504" s="407">
        <f t="shared" si="27"/>
        <v>-0.5656466668079076</v>
      </c>
      <c r="G504" s="408"/>
    </row>
    <row r="505" spans="1:7" s="391" customFormat="1" ht="17.25" customHeight="1">
      <c r="A505" s="409">
        <v>22902</v>
      </c>
      <c r="B505" s="410" t="s">
        <v>887</v>
      </c>
      <c r="C505" s="411">
        <f>SUM('[36]分类汇总表'!BJ2849)/10</f>
        <v>390000</v>
      </c>
      <c r="D505" s="411">
        <v>369675</v>
      </c>
      <c r="E505" s="412">
        <f t="shared" si="26"/>
        <v>20325</v>
      </c>
      <c r="F505" s="412">
        <f t="shared" si="27"/>
        <v>5.498072631365389</v>
      </c>
      <c r="G505" s="404"/>
    </row>
    <row r="506" spans="1:7" s="391" customFormat="1" ht="17.25" customHeight="1">
      <c r="A506" s="409">
        <v>22999</v>
      </c>
      <c r="B506" s="410" t="s">
        <v>886</v>
      </c>
      <c r="C506" s="411">
        <f>SUM('[36]分类汇总表'!BJ2870)/10</f>
        <v>51170.14</v>
      </c>
      <c r="D506" s="411">
        <v>74004.8</v>
      </c>
      <c r="E506" s="412">
        <f t="shared" si="26"/>
        <v>-22834.660000000003</v>
      </c>
      <c r="F506" s="412">
        <f t="shared" si="27"/>
        <v>-30.855647201262627</v>
      </c>
      <c r="G506" s="404"/>
    </row>
    <row r="507" spans="1:7" s="391" customFormat="1" ht="17.25" customHeight="1">
      <c r="A507" s="413">
        <v>2299901</v>
      </c>
      <c r="B507" s="414" t="s">
        <v>888</v>
      </c>
      <c r="C507" s="415">
        <f>SUM('[36]分类汇总表'!BJ2850:BJ2869)/10</f>
        <v>51170.14</v>
      </c>
      <c r="D507" s="415">
        <v>74004.8</v>
      </c>
      <c r="E507" s="416">
        <f t="shared" si="26"/>
        <v>-22834.660000000003</v>
      </c>
      <c r="F507" s="416">
        <f t="shared" si="27"/>
        <v>-30.855647201262627</v>
      </c>
      <c r="G507" s="404"/>
    </row>
    <row r="508" ht="12.75">
      <c r="G508" s="427"/>
    </row>
    <row r="509" ht="12.75">
      <c r="G509" s="427"/>
    </row>
    <row r="510" ht="12.75">
      <c r="G510" s="427"/>
    </row>
    <row r="511" ht="12.75">
      <c r="G511" s="427"/>
    </row>
    <row r="512" ht="12.75">
      <c r="G512" s="427"/>
    </row>
    <row r="513" ht="12.75">
      <c r="G513" s="427"/>
    </row>
    <row r="514" ht="12.75">
      <c r="G514" s="427"/>
    </row>
    <row r="515" ht="12.75">
      <c r="G515" s="427"/>
    </row>
    <row r="516" ht="12.75">
      <c r="G516" s="427"/>
    </row>
    <row r="517" ht="12.75">
      <c r="G517" s="427"/>
    </row>
    <row r="518" ht="12.75">
      <c r="G518" s="427"/>
    </row>
    <row r="519" ht="12.75">
      <c r="G519" s="427"/>
    </row>
    <row r="520" ht="12.75">
      <c r="G520" s="427"/>
    </row>
    <row r="521" ht="12.75">
      <c r="G521" s="427"/>
    </row>
    <row r="522" ht="12.75">
      <c r="G522" s="427"/>
    </row>
    <row r="523" ht="12.75">
      <c r="G523" s="427"/>
    </row>
    <row r="524" ht="12.75">
      <c r="G524" s="427"/>
    </row>
    <row r="525" ht="12.75">
      <c r="G525" s="427"/>
    </row>
    <row r="526" ht="12.75">
      <c r="G526" s="427"/>
    </row>
    <row r="527" ht="12.75">
      <c r="G527" s="427"/>
    </row>
    <row r="528" ht="12.75">
      <c r="G528" s="427"/>
    </row>
    <row r="529" ht="12.75">
      <c r="G529" s="427"/>
    </row>
  </sheetData>
  <sheetProtection/>
  <mergeCells count="2">
    <mergeCell ref="A2:G2"/>
    <mergeCell ref="G241:G242"/>
  </mergeCells>
  <printOptions/>
  <pageMargins left="0.75" right="0.75" top="1" bottom="0.74" header="0.5" footer="0.5"/>
  <pageSetup horizontalDpi="600" verticalDpi="600" orientation="landscape" paperSize="9"/>
  <headerFooter scaleWithDoc="0" alignWithMargins="0">
    <oddFooter>&amp;C—&amp;P+7—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潘飞</dc:creator>
  <cp:keywords/>
  <dc:description/>
  <cp:lastModifiedBy>潘飞</cp:lastModifiedBy>
  <cp:lastPrinted>2017-01-25T04:44:51Z</cp:lastPrinted>
  <dcterms:created xsi:type="dcterms:W3CDTF">2017-01-20T07:29:22Z</dcterms:created>
  <dcterms:modified xsi:type="dcterms:W3CDTF">2017-02-28T06:34:18Z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2052-10.1.0.6206</vt:lpwstr>
  </property>
</Properties>
</file>